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https://theermgroup.sharepoint.com/sites/0674621USSteel/Shared Documents/USS and ERM Document Transfer/ERM to USS for Keetac/TSF Expansion Env Review and Permitting/EAW Supporting Document/08 Submission 2 (response to DNR comments Feb 2025)/EAW Appendices/"/>
    </mc:Choice>
  </mc:AlternateContent>
  <xr:revisionPtr revIDLastSave="537" documentId="8_{B3364622-B47E-4553-A923-E3BCC0195309}" xr6:coauthVersionLast="47" xr6:coauthVersionMax="47" xr10:uidLastSave="{6F6B4212-746A-4FDB-A274-284D592221AC}"/>
  <workbookProtection lockStructure="1"/>
  <bookViews>
    <workbookView xWindow="-110" yWindow="-110" windowWidth="19420" windowHeight="10300" firstSheet="3" activeTab="3" xr2:uid="{EA67F161-7602-412B-A8E6-65E968C6F4E6}"/>
  </bookViews>
  <sheets>
    <sheet name="Continuous Constr. Activities" sheetId="1" r:id="rId1"/>
    <sheet name="Fuel Usage Emissions" sheetId="2" r:id="rId2"/>
    <sheet name="Scope 2 Emissions" sheetId="3" r:id="rId3"/>
    <sheet name="Land Use Chang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4" l="1"/>
  <c r="U14" i="4"/>
  <c r="U13" i="4"/>
  <c r="U12" i="4"/>
  <c r="U11" i="4"/>
  <c r="U10" i="4"/>
  <c r="U9" i="4"/>
  <c r="U8" i="4"/>
  <c r="U7" i="4"/>
  <c r="U6" i="4"/>
  <c r="U5" i="4"/>
  <c r="U4" i="4"/>
  <c r="U3" i="4"/>
  <c r="R10" i="4"/>
  <c r="S16" i="4"/>
  <c r="T9" i="4"/>
  <c r="R3" i="4"/>
  <c r="Q3" i="4"/>
  <c r="Q16" i="4"/>
  <c r="N16" i="4"/>
  <c r="M4" i="4"/>
  <c r="N4" i="4"/>
  <c r="M5" i="4"/>
  <c r="N5" i="4"/>
  <c r="M6" i="4"/>
  <c r="N6" i="4"/>
  <c r="M7" i="4"/>
  <c r="N7" i="4"/>
  <c r="M8" i="4"/>
  <c r="N8" i="4"/>
  <c r="M9" i="4"/>
  <c r="N9" i="4"/>
  <c r="M10" i="4"/>
  <c r="N10" i="4"/>
  <c r="M11" i="4"/>
  <c r="N11" i="4"/>
  <c r="M12" i="4"/>
  <c r="N12" i="4"/>
  <c r="M13" i="4"/>
  <c r="N13" i="4"/>
  <c r="M14" i="4"/>
  <c r="N14" i="4"/>
  <c r="M15" i="4"/>
  <c r="N15" i="4"/>
  <c r="N3" i="4"/>
  <c r="G16" i="4"/>
  <c r="P4" i="4"/>
  <c r="E16" i="4"/>
  <c r="M12" i="1"/>
  <c r="E50" i="1"/>
  <c r="K50" i="1"/>
  <c r="E15" i="1"/>
  <c r="F15" i="1"/>
  <c r="G15" i="1"/>
  <c r="H15" i="1"/>
  <c r="I15" i="1"/>
  <c r="J15" i="1"/>
  <c r="K15" i="1"/>
  <c r="W15" i="1" s="1"/>
  <c r="L15" i="1"/>
  <c r="X15" i="1" s="1"/>
  <c r="E16" i="1"/>
  <c r="F16" i="1"/>
  <c r="G16" i="1"/>
  <c r="H16" i="1"/>
  <c r="I16" i="1"/>
  <c r="J16" i="1"/>
  <c r="V16" i="1" s="1"/>
  <c r="K16" i="1"/>
  <c r="W16" i="1" s="1"/>
  <c r="L16" i="1"/>
  <c r="X16" i="1" s="1"/>
  <c r="E17" i="1"/>
  <c r="F17" i="1"/>
  <c r="R17" i="1" s="1"/>
  <c r="G17" i="1"/>
  <c r="S17" i="1" s="1"/>
  <c r="H17" i="1"/>
  <c r="T17" i="1" s="1"/>
  <c r="I17" i="1"/>
  <c r="J17" i="1"/>
  <c r="K17" i="1"/>
  <c r="L17" i="1"/>
  <c r="X17" i="1" s="1"/>
  <c r="K14" i="1"/>
  <c r="W14" i="1" s="1"/>
  <c r="L14" i="1"/>
  <c r="X14" i="1" s="1"/>
  <c r="J14" i="1"/>
  <c r="E14" i="1"/>
  <c r="I14" i="1"/>
  <c r="U14" i="1" s="1"/>
  <c r="V14" i="1"/>
  <c r="F14" i="1"/>
  <c r="R14" i="1" s="1"/>
  <c r="G14" i="1"/>
  <c r="S14" i="1" s="1"/>
  <c r="H14" i="1"/>
  <c r="T14" i="1" s="1"/>
  <c r="E13" i="1"/>
  <c r="F13" i="1"/>
  <c r="R13" i="1" s="1"/>
  <c r="G13" i="1"/>
  <c r="S13" i="1" s="1"/>
  <c r="H13" i="1"/>
  <c r="T13" i="1" s="1"/>
  <c r="I13" i="1"/>
  <c r="U13" i="1" s="1"/>
  <c r="J13" i="1"/>
  <c r="K13" i="1"/>
  <c r="L13" i="1"/>
  <c r="M13" i="1"/>
  <c r="N13" i="1"/>
  <c r="Q14" i="1"/>
  <c r="M14" i="1"/>
  <c r="N14" i="1" s="1"/>
  <c r="Y14" i="1" s="1"/>
  <c r="Q15" i="1"/>
  <c r="M15" i="1"/>
  <c r="N15" i="1" s="1"/>
  <c r="T16" i="1"/>
  <c r="U16" i="1"/>
  <c r="M16" i="1"/>
  <c r="N16" i="1"/>
  <c r="Q17" i="1"/>
  <c r="W17" i="1"/>
  <c r="M17" i="1"/>
  <c r="N17" i="1"/>
  <c r="Q13" i="1"/>
  <c r="R15" i="1"/>
  <c r="S15" i="1"/>
  <c r="T15" i="1"/>
  <c r="U15" i="1"/>
  <c r="V15" i="1"/>
  <c r="X13" i="1"/>
  <c r="Q16" i="1"/>
  <c r="U17" i="1"/>
  <c r="V17" i="1"/>
  <c r="N12" i="1"/>
  <c r="Y12" i="1" s="1"/>
  <c r="K12" i="1"/>
  <c r="W12" i="1" s="1"/>
  <c r="L12" i="1"/>
  <c r="X12" i="1" s="1"/>
  <c r="J12" i="1"/>
  <c r="V12" i="1" s="1"/>
  <c r="F12" i="1"/>
  <c r="R12" i="1" s="1"/>
  <c r="G12" i="1"/>
  <c r="H12" i="1"/>
  <c r="I12" i="1"/>
  <c r="E12" i="1"/>
  <c r="Q12" i="1" s="1"/>
  <c r="E4" i="2"/>
  <c r="D4" i="2"/>
  <c r="C4" i="2"/>
  <c r="B4" i="2"/>
  <c r="S12" i="1"/>
  <c r="T12" i="1"/>
  <c r="U12" i="1"/>
  <c r="V13" i="1"/>
  <c r="W13" i="1"/>
  <c r="R16" i="1"/>
  <c r="S16" i="1"/>
  <c r="G57" i="3"/>
  <c r="F57" i="3" s="1"/>
  <c r="K57" i="3" s="1"/>
  <c r="N57" i="3" s="1"/>
  <c r="G58" i="3"/>
  <c r="F58" i="3" s="1"/>
  <c r="K58" i="3" s="1"/>
  <c r="G65" i="3"/>
  <c r="F65" i="3" s="1"/>
  <c r="K65" i="3" s="1"/>
  <c r="G67" i="3"/>
  <c r="F67" i="3" s="1"/>
  <c r="K67" i="3" s="1"/>
  <c r="N67" i="3" s="1"/>
  <c r="K56" i="3"/>
  <c r="M56" i="3" s="1"/>
  <c r="J71" i="3"/>
  <c r="J70" i="3"/>
  <c r="J69" i="3"/>
  <c r="J68" i="3"/>
  <c r="J67" i="3"/>
  <c r="J66" i="3"/>
  <c r="J65" i="3"/>
  <c r="J64" i="3"/>
  <c r="J63" i="3"/>
  <c r="J62" i="3"/>
  <c r="J61" i="3"/>
  <c r="J60" i="3"/>
  <c r="J59" i="3"/>
  <c r="J58" i="3"/>
  <c r="J57" i="3"/>
  <c r="J56" i="3"/>
  <c r="F71" i="3"/>
  <c r="K71" i="3" s="1"/>
  <c r="L71" i="3" s="1"/>
  <c r="F70" i="3"/>
  <c r="K70" i="3" s="1"/>
  <c r="L70" i="3" s="1"/>
  <c r="F69" i="3"/>
  <c r="K69" i="3" s="1"/>
  <c r="N69" i="3" s="1"/>
  <c r="F68" i="3"/>
  <c r="K68" i="3" s="1"/>
  <c r="N68" i="3" s="1"/>
  <c r="F66" i="3"/>
  <c r="K66" i="3" s="1"/>
  <c r="N66" i="3" s="1"/>
  <c r="F64" i="3"/>
  <c r="K64" i="3" s="1"/>
  <c r="L64" i="3" s="1"/>
  <c r="F63" i="3"/>
  <c r="K63" i="3" s="1"/>
  <c r="F62" i="3"/>
  <c r="K62" i="3" s="1"/>
  <c r="M62" i="3" s="1"/>
  <c r="F61" i="3"/>
  <c r="K61" i="3" s="1"/>
  <c r="M61" i="3" s="1"/>
  <c r="F60" i="3"/>
  <c r="K60" i="3" s="1"/>
  <c r="N60" i="3" s="1"/>
  <c r="F59" i="3"/>
  <c r="K59" i="3" s="1"/>
  <c r="M59" i="3" s="1"/>
  <c r="F56" i="3"/>
  <c r="F48" i="3"/>
  <c r="I4" i="1" l="1"/>
  <c r="I5" i="1"/>
  <c r="N63" i="3"/>
  <c r="M63" i="3"/>
  <c r="L63" i="3"/>
  <c r="O63" i="3" s="1"/>
  <c r="N56" i="3"/>
  <c r="M70" i="3"/>
  <c r="N70" i="3"/>
  <c r="M65" i="3"/>
  <c r="N65" i="3"/>
  <c r="M58" i="3"/>
  <c r="L58" i="3"/>
  <c r="N58" i="3"/>
  <c r="L61" i="3"/>
  <c r="M68" i="3"/>
  <c r="L66" i="3"/>
  <c r="M71" i="3"/>
  <c r="L57" i="3"/>
  <c r="N71" i="3"/>
  <c r="M57" i="3"/>
  <c r="N64" i="3"/>
  <c r="M69" i="3"/>
  <c r="L67" i="3"/>
  <c r="N62" i="3"/>
  <c r="M67" i="3"/>
  <c r="N61" i="3"/>
  <c r="N59" i="3"/>
  <c r="M64" i="3"/>
  <c r="L69" i="3"/>
  <c r="L60" i="3"/>
  <c r="M60" i="3"/>
  <c r="L65" i="3"/>
  <c r="L68" i="3"/>
  <c r="O68" i="3" s="1"/>
  <c r="L59" i="3"/>
  <c r="O59" i="3" s="1"/>
  <c r="M66" i="3"/>
  <c r="L62" i="3"/>
  <c r="O62" i="3" s="1"/>
  <c r="L56" i="3"/>
  <c r="E5" i="2"/>
  <c r="D5" i="2"/>
  <c r="C5" i="2"/>
  <c r="B5" i="2"/>
  <c r="Q73" i="3"/>
  <c r="O73" i="3"/>
  <c r="M73" i="3"/>
  <c r="O70" i="3" l="1"/>
  <c r="O71" i="3"/>
  <c r="O64" i="3"/>
  <c r="O56" i="3"/>
  <c r="O67" i="3"/>
  <c r="O65" i="3"/>
  <c r="O58" i="3"/>
  <c r="O60" i="3"/>
  <c r="O57" i="3"/>
  <c r="O69" i="3"/>
  <c r="O66" i="3"/>
  <c r="O61" i="3"/>
  <c r="H51" i="1"/>
  <c r="N51" i="1" s="1"/>
  <c r="I51" i="1"/>
  <c r="O51" i="1" s="1"/>
  <c r="J51" i="1"/>
  <c r="P51" i="1" s="1"/>
  <c r="H52" i="1"/>
  <c r="N52" i="1" s="1"/>
  <c r="I52" i="1"/>
  <c r="O52" i="1" s="1"/>
  <c r="J52" i="1"/>
  <c r="P52" i="1" s="1"/>
  <c r="H53" i="1"/>
  <c r="N53" i="1" s="1"/>
  <c r="I53" i="1"/>
  <c r="O53" i="1" s="1"/>
  <c r="J53" i="1"/>
  <c r="P53" i="1" s="1"/>
  <c r="H54" i="1"/>
  <c r="N54" i="1" s="1"/>
  <c r="I54" i="1"/>
  <c r="O54" i="1" s="1"/>
  <c r="J54" i="1"/>
  <c r="P54" i="1" s="1"/>
  <c r="H55" i="1"/>
  <c r="N55" i="1" s="1"/>
  <c r="I55" i="1"/>
  <c r="O55" i="1" s="1"/>
  <c r="J55" i="1"/>
  <c r="P55" i="1" s="1"/>
  <c r="H56" i="1"/>
  <c r="N56" i="1" s="1"/>
  <c r="I56" i="1"/>
  <c r="O56" i="1" s="1"/>
  <c r="J56" i="1"/>
  <c r="P56" i="1" s="1"/>
  <c r="H57" i="1"/>
  <c r="N57" i="1" s="1"/>
  <c r="I57" i="1"/>
  <c r="O57" i="1" s="1"/>
  <c r="J57" i="1"/>
  <c r="P57" i="1" s="1"/>
  <c r="H58" i="1"/>
  <c r="N58" i="1" s="1"/>
  <c r="I58" i="1"/>
  <c r="O58" i="1" s="1"/>
  <c r="J58" i="1"/>
  <c r="P58" i="1" s="1"/>
  <c r="H59" i="1"/>
  <c r="N59" i="1" s="1"/>
  <c r="I59" i="1"/>
  <c r="O59" i="1" s="1"/>
  <c r="J59" i="1"/>
  <c r="P59" i="1" s="1"/>
  <c r="H60" i="1"/>
  <c r="N60" i="1" s="1"/>
  <c r="I60" i="1"/>
  <c r="O60" i="1" s="1"/>
  <c r="J60" i="1"/>
  <c r="P60" i="1" s="1"/>
  <c r="H61" i="1"/>
  <c r="N61" i="1" s="1"/>
  <c r="I61" i="1"/>
  <c r="O61" i="1" s="1"/>
  <c r="J61" i="1"/>
  <c r="P61" i="1" s="1"/>
  <c r="H62" i="1"/>
  <c r="N62" i="1" s="1"/>
  <c r="I62" i="1"/>
  <c r="O62" i="1" s="1"/>
  <c r="J62" i="1"/>
  <c r="P62" i="1" s="1"/>
  <c r="H63" i="1"/>
  <c r="N63" i="1" s="1"/>
  <c r="I63" i="1"/>
  <c r="O63" i="1" s="1"/>
  <c r="J63" i="1"/>
  <c r="P63" i="1" s="1"/>
  <c r="H64" i="1"/>
  <c r="N64" i="1" s="1"/>
  <c r="I64" i="1"/>
  <c r="O64" i="1" s="1"/>
  <c r="J64" i="1"/>
  <c r="P64" i="1" s="1"/>
  <c r="H65" i="1"/>
  <c r="N65" i="1" s="1"/>
  <c r="I65" i="1"/>
  <c r="O65" i="1" s="1"/>
  <c r="J65" i="1"/>
  <c r="P65" i="1" s="1"/>
  <c r="H66" i="1"/>
  <c r="N66" i="1" s="1"/>
  <c r="I66" i="1"/>
  <c r="O66" i="1" s="1"/>
  <c r="J66" i="1"/>
  <c r="P66" i="1" s="1"/>
  <c r="H67" i="1"/>
  <c r="N67" i="1" s="1"/>
  <c r="I67" i="1"/>
  <c r="O67" i="1" s="1"/>
  <c r="J67" i="1"/>
  <c r="P67" i="1" s="1"/>
  <c r="H68" i="1"/>
  <c r="N68" i="1" s="1"/>
  <c r="I68" i="1"/>
  <c r="O68" i="1" s="1"/>
  <c r="J68" i="1"/>
  <c r="P68" i="1" s="1"/>
  <c r="H69" i="1"/>
  <c r="N69" i="1" s="1"/>
  <c r="I69" i="1"/>
  <c r="O69" i="1" s="1"/>
  <c r="J69" i="1"/>
  <c r="P69" i="1" s="1"/>
  <c r="H70" i="1"/>
  <c r="N70" i="1" s="1"/>
  <c r="I70" i="1"/>
  <c r="O70" i="1" s="1"/>
  <c r="J70" i="1"/>
  <c r="P70" i="1" s="1"/>
  <c r="H71" i="1"/>
  <c r="N71" i="1" s="1"/>
  <c r="I71" i="1"/>
  <c r="O71" i="1" s="1"/>
  <c r="J71" i="1"/>
  <c r="P71" i="1" s="1"/>
  <c r="H72" i="1"/>
  <c r="N72" i="1" s="1"/>
  <c r="I72" i="1"/>
  <c r="O72" i="1" s="1"/>
  <c r="J72" i="1"/>
  <c r="P72" i="1" s="1"/>
  <c r="H73" i="1"/>
  <c r="N73" i="1" s="1"/>
  <c r="I73" i="1"/>
  <c r="O73" i="1" s="1"/>
  <c r="J73" i="1"/>
  <c r="P73" i="1" s="1"/>
  <c r="H74" i="1"/>
  <c r="N74" i="1" s="1"/>
  <c r="I74" i="1"/>
  <c r="O74" i="1" s="1"/>
  <c r="J74" i="1"/>
  <c r="P74" i="1" s="1"/>
  <c r="H75" i="1"/>
  <c r="N75" i="1" s="1"/>
  <c r="I75" i="1"/>
  <c r="O75" i="1" s="1"/>
  <c r="J75" i="1"/>
  <c r="P75" i="1" s="1"/>
  <c r="H76" i="1"/>
  <c r="N76" i="1" s="1"/>
  <c r="I76" i="1"/>
  <c r="O76" i="1" s="1"/>
  <c r="J76" i="1"/>
  <c r="P76" i="1" s="1"/>
  <c r="H77" i="1"/>
  <c r="N77" i="1" s="1"/>
  <c r="I77" i="1"/>
  <c r="O77" i="1" s="1"/>
  <c r="J77" i="1"/>
  <c r="P77" i="1" s="1"/>
  <c r="H78" i="1"/>
  <c r="N78" i="1" s="1"/>
  <c r="I78" i="1"/>
  <c r="O78" i="1" s="1"/>
  <c r="J78" i="1"/>
  <c r="P78" i="1" s="1"/>
  <c r="H79" i="1"/>
  <c r="N79" i="1" s="1"/>
  <c r="I79" i="1"/>
  <c r="O79" i="1" s="1"/>
  <c r="J79" i="1"/>
  <c r="P79" i="1" s="1"/>
  <c r="H80" i="1"/>
  <c r="N80" i="1" s="1"/>
  <c r="I80" i="1"/>
  <c r="O80" i="1" s="1"/>
  <c r="J80" i="1"/>
  <c r="P80" i="1" s="1"/>
  <c r="H81" i="1"/>
  <c r="N81" i="1" s="1"/>
  <c r="I81" i="1"/>
  <c r="O81" i="1" s="1"/>
  <c r="J81" i="1"/>
  <c r="P81" i="1" s="1"/>
  <c r="J50" i="1"/>
  <c r="P50" i="1" s="1"/>
  <c r="I50" i="1"/>
  <c r="O50" i="1" s="1"/>
  <c r="H50" i="1"/>
  <c r="N50" i="1" s="1"/>
  <c r="F50" i="1"/>
  <c r="Y13" i="1"/>
  <c r="K5" i="1" s="1"/>
  <c r="Y15" i="1"/>
  <c r="Y16" i="1"/>
  <c r="Y17" i="1"/>
  <c r="F16" i="4"/>
  <c r="H16" i="4"/>
  <c r="I16" i="4"/>
  <c r="J16" i="4"/>
  <c r="K16" i="4"/>
  <c r="L4" i="4"/>
  <c r="O4" i="4"/>
  <c r="L5" i="4"/>
  <c r="O5" i="4"/>
  <c r="P5" i="4"/>
  <c r="L6" i="4"/>
  <c r="O6" i="4"/>
  <c r="P6" i="4"/>
  <c r="L7" i="4"/>
  <c r="O7" i="4"/>
  <c r="P7" i="4"/>
  <c r="L8" i="4"/>
  <c r="O8" i="4"/>
  <c r="P8" i="4"/>
  <c r="L9" i="4"/>
  <c r="O9" i="4"/>
  <c r="P9" i="4"/>
  <c r="L10" i="4"/>
  <c r="O10" i="4"/>
  <c r="P10" i="4"/>
  <c r="L11" i="4"/>
  <c r="O11" i="4"/>
  <c r="P11" i="4"/>
  <c r="L12" i="4"/>
  <c r="O12" i="4"/>
  <c r="P12" i="4"/>
  <c r="L13" i="4"/>
  <c r="O13" i="4"/>
  <c r="P13" i="4"/>
  <c r="L14" i="4"/>
  <c r="O14" i="4"/>
  <c r="P14" i="4"/>
  <c r="L15" i="4"/>
  <c r="O15" i="4"/>
  <c r="P15" i="4"/>
  <c r="M3" i="4"/>
  <c r="O3" i="4"/>
  <c r="P3" i="4"/>
  <c r="L3" i="4"/>
  <c r="F52" i="3"/>
  <c r="K52" i="3" s="1"/>
  <c r="N11" i="2"/>
  <c r="J10"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9" i="3"/>
  <c r="F51" i="3"/>
  <c r="K51" i="3" s="1"/>
  <c r="F50" i="3"/>
  <c r="F49" i="3"/>
  <c r="F47" i="3"/>
  <c r="F46" i="3"/>
  <c r="F45" i="3"/>
  <c r="F44" i="3"/>
  <c r="F43" i="3"/>
  <c r="F42" i="3"/>
  <c r="F41" i="3"/>
  <c r="K41" i="3" s="1"/>
  <c r="F40" i="3"/>
  <c r="F39" i="3"/>
  <c r="K39" i="3" s="1"/>
  <c r="F38" i="3"/>
  <c r="F37" i="3"/>
  <c r="F36" i="3"/>
  <c r="F35" i="3"/>
  <c r="F34" i="3"/>
  <c r="F33" i="3"/>
  <c r="F32" i="3"/>
  <c r="F31" i="3"/>
  <c r="F30" i="3"/>
  <c r="F29" i="3"/>
  <c r="K29" i="3" s="1"/>
  <c r="F28" i="3"/>
  <c r="F27" i="3"/>
  <c r="K27" i="3" s="1"/>
  <c r="F26" i="3"/>
  <c r="F25" i="3"/>
  <c r="F24" i="3"/>
  <c r="F23" i="3"/>
  <c r="F22" i="3"/>
  <c r="F21" i="3"/>
  <c r="F20" i="3"/>
  <c r="F19" i="3"/>
  <c r="F18" i="3"/>
  <c r="F17" i="3"/>
  <c r="K17" i="3" s="1"/>
  <c r="F16" i="3"/>
  <c r="F15" i="3"/>
  <c r="K15" i="3" s="1"/>
  <c r="F14" i="3"/>
  <c r="F13" i="3"/>
  <c r="F12" i="3"/>
  <c r="F11" i="3"/>
  <c r="F10" i="3"/>
  <c r="K10" i="3" s="1"/>
  <c r="L10" i="3" s="1"/>
  <c r="F9" i="3"/>
  <c r="T3" i="4" l="1"/>
  <c r="Q13" i="4"/>
  <c r="S13" i="4"/>
  <c r="Q10" i="4"/>
  <c r="S10" i="4"/>
  <c r="Q15" i="4"/>
  <c r="S15" i="4"/>
  <c r="Q12" i="4"/>
  <c r="S12" i="4"/>
  <c r="Q14" i="4"/>
  <c r="S14" i="4"/>
  <c r="R4" i="4"/>
  <c r="T4" i="4" s="1"/>
  <c r="S3" i="4"/>
  <c r="Q11" i="4"/>
  <c r="S11" i="4"/>
  <c r="Q9" i="4"/>
  <c r="Q8" i="4"/>
  <c r="S8" i="4"/>
  <c r="Q7" i="4"/>
  <c r="S7" i="4"/>
  <c r="Q6" i="4"/>
  <c r="S6" i="4"/>
  <c r="Q5" i="4"/>
  <c r="S5" i="4"/>
  <c r="Q4" i="4"/>
  <c r="S4" i="4"/>
  <c r="N82" i="1"/>
  <c r="Z15" i="1" s="1"/>
  <c r="O82" i="1"/>
  <c r="Z16" i="1" s="1"/>
  <c r="P82" i="1"/>
  <c r="Z17" i="1" s="1"/>
  <c r="K18" i="3"/>
  <c r="K30" i="3"/>
  <c r="K42" i="3"/>
  <c r="M42" i="3" s="1"/>
  <c r="K19" i="3"/>
  <c r="L19" i="3" s="1"/>
  <c r="K31" i="3"/>
  <c r="M31" i="3" s="1"/>
  <c r="K43" i="3"/>
  <c r="M43" i="3" s="1"/>
  <c r="K21" i="3"/>
  <c r="M21" i="3" s="1"/>
  <c r="K33" i="3"/>
  <c r="L33" i="3" s="1"/>
  <c r="K14" i="3"/>
  <c r="L14" i="3" s="1"/>
  <c r="K26" i="3"/>
  <c r="N26" i="3" s="1"/>
  <c r="K38" i="3"/>
  <c r="L38" i="3" s="1"/>
  <c r="K11" i="3"/>
  <c r="L11" i="3" s="1"/>
  <c r="K23" i="3"/>
  <c r="M23" i="3" s="1"/>
  <c r="K35" i="3"/>
  <c r="N35" i="3" s="1"/>
  <c r="K47" i="3"/>
  <c r="N47" i="3" s="1"/>
  <c r="K36" i="3"/>
  <c r="L36" i="3" s="1"/>
  <c r="K50" i="3"/>
  <c r="N50" i="3" s="1"/>
  <c r="K16" i="3"/>
  <c r="L16" i="3" s="1"/>
  <c r="K28" i="3"/>
  <c r="L28" i="3" s="1"/>
  <c r="K40" i="3"/>
  <c r="N40" i="3" s="1"/>
  <c r="K45" i="3"/>
  <c r="M45" i="3" s="1"/>
  <c r="K4" i="1"/>
  <c r="N10" i="3"/>
  <c r="M10" i="3"/>
  <c r="N52" i="3"/>
  <c r="L52" i="3"/>
  <c r="M52" i="3"/>
  <c r="L45" i="3"/>
  <c r="L47" i="3"/>
  <c r="M47" i="3"/>
  <c r="L15" i="3"/>
  <c r="M15" i="3"/>
  <c r="N15" i="3"/>
  <c r="L27" i="3"/>
  <c r="M27" i="3"/>
  <c r="N27" i="3"/>
  <c r="L18" i="3"/>
  <c r="N18" i="3"/>
  <c r="M18" i="3"/>
  <c r="L30" i="3"/>
  <c r="M30" i="3"/>
  <c r="N30" i="3"/>
  <c r="M35" i="3"/>
  <c r="L39" i="3"/>
  <c r="M39" i="3"/>
  <c r="N39" i="3"/>
  <c r="N14" i="3"/>
  <c r="K20" i="3"/>
  <c r="K32" i="3"/>
  <c r="K44" i="3"/>
  <c r="L51" i="3"/>
  <c r="M51" i="3"/>
  <c r="N51" i="3"/>
  <c r="K9" i="3"/>
  <c r="K22" i="3"/>
  <c r="K34" i="3"/>
  <c r="K46" i="3"/>
  <c r="L17" i="3"/>
  <c r="M17" i="3"/>
  <c r="N17" i="3"/>
  <c r="M29" i="3"/>
  <c r="L29" i="3"/>
  <c r="N29" i="3"/>
  <c r="M41" i="3"/>
  <c r="L41" i="3"/>
  <c r="N41" i="3"/>
  <c r="N42" i="3"/>
  <c r="K12" i="3"/>
  <c r="K24" i="3"/>
  <c r="K48" i="3"/>
  <c r="R5" i="4"/>
  <c r="T5" i="4" s="1"/>
  <c r="R8" i="4"/>
  <c r="T8" i="4" s="1"/>
  <c r="R13" i="4"/>
  <c r="T13" i="4" s="1"/>
  <c r="T10" i="4"/>
  <c r="R7" i="4"/>
  <c r="T7" i="4" s="1"/>
  <c r="R14" i="4"/>
  <c r="T14" i="4" s="1"/>
  <c r="R9" i="4"/>
  <c r="R11" i="4"/>
  <c r="T11" i="4" s="1"/>
  <c r="R12" i="4"/>
  <c r="T12" i="4" s="1"/>
  <c r="R6" i="4"/>
  <c r="T6" i="4" s="1"/>
  <c r="R15" i="4"/>
  <c r="T15" i="4" s="1"/>
  <c r="L16" i="4"/>
  <c r="O16" i="4"/>
  <c r="M16" i="4"/>
  <c r="P16" i="4"/>
  <c r="K13" i="3"/>
  <c r="K25" i="3"/>
  <c r="K37" i="3"/>
  <c r="K49" i="3"/>
  <c r="F12" i="2"/>
  <c r="G12" i="2"/>
  <c r="H12" i="2"/>
  <c r="I12" i="2"/>
  <c r="F13" i="2"/>
  <c r="G13" i="2"/>
  <c r="H13" i="2"/>
  <c r="I13" i="2"/>
  <c r="G11" i="2"/>
  <c r="H11" i="2"/>
  <c r="I11" i="2"/>
  <c r="F11" i="2"/>
  <c r="F14" i="2"/>
  <c r="G14" i="2"/>
  <c r="H14" i="2"/>
  <c r="I14" i="2"/>
  <c r="F15" i="2"/>
  <c r="G15" i="2"/>
  <c r="H15" i="2"/>
  <c r="I15" i="2"/>
  <c r="E11" i="2"/>
  <c r="F60" i="1"/>
  <c r="L60" i="1" s="1"/>
  <c r="G81" i="1"/>
  <c r="M81" i="1" s="1"/>
  <c r="D39" i="1"/>
  <c r="B5" i="1" s="1"/>
  <c r="E39" i="1"/>
  <c r="F39" i="1"/>
  <c r="G39" i="1"/>
  <c r="H39" i="1"/>
  <c r="I39" i="1"/>
  <c r="C39" i="1"/>
  <c r="T16" i="4" l="1"/>
  <c r="H4" i="1"/>
  <c r="J5" i="1"/>
  <c r="L5" i="1" s="1"/>
  <c r="F5" i="1"/>
  <c r="G5" i="1"/>
  <c r="F4" i="1"/>
  <c r="J4" i="1"/>
  <c r="L4" i="1" s="1"/>
  <c r="E4" i="1"/>
  <c r="G4" i="1"/>
  <c r="C4" i="1"/>
  <c r="B4" i="1"/>
  <c r="B6" i="1" s="1"/>
  <c r="D5" i="1"/>
  <c r="D4" i="1"/>
  <c r="L43" i="3"/>
  <c r="M50" i="3"/>
  <c r="M19" i="3"/>
  <c r="L23" i="3"/>
  <c r="L31" i="3"/>
  <c r="N43" i="3"/>
  <c r="N19" i="3"/>
  <c r="L35" i="3"/>
  <c r="O35" i="3" s="1"/>
  <c r="M11" i="3"/>
  <c r="N45" i="3"/>
  <c r="O45" i="3" s="1"/>
  <c r="L50" i="3"/>
  <c r="O50" i="3" s="1"/>
  <c r="M33" i="3"/>
  <c r="L26" i="3"/>
  <c r="N21" i="3"/>
  <c r="L42" i="3"/>
  <c r="M14" i="3"/>
  <c r="N31" i="3"/>
  <c r="M38" i="3"/>
  <c r="L21" i="3"/>
  <c r="N16" i="3"/>
  <c r="M40" i="3"/>
  <c r="N38" i="3"/>
  <c r="N23" i="3"/>
  <c r="M26" i="3"/>
  <c r="N11" i="3"/>
  <c r="N33" i="3"/>
  <c r="O30" i="3"/>
  <c r="N28" i="3"/>
  <c r="M28" i="3"/>
  <c r="M16" i="3"/>
  <c r="N36" i="3"/>
  <c r="L40" i="3"/>
  <c r="M36" i="3"/>
  <c r="E56" i="1"/>
  <c r="K56" i="1" s="1"/>
  <c r="L13" i="3"/>
  <c r="M13" i="3"/>
  <c r="N13" i="3"/>
  <c r="L24" i="3"/>
  <c r="M24" i="3"/>
  <c r="N24" i="3"/>
  <c r="L44" i="3"/>
  <c r="M44" i="3"/>
  <c r="N44" i="3"/>
  <c r="L22" i="3"/>
  <c r="M22" i="3"/>
  <c r="N22" i="3"/>
  <c r="N12" i="3"/>
  <c r="L12" i="3"/>
  <c r="M12" i="3"/>
  <c r="M32" i="3"/>
  <c r="N32" i="3"/>
  <c r="L32" i="3"/>
  <c r="O32" i="3" s="1"/>
  <c r="L46" i="3"/>
  <c r="M46" i="3"/>
  <c r="N46" i="3"/>
  <c r="N20" i="3"/>
  <c r="L20" i="3"/>
  <c r="M20" i="3"/>
  <c r="L34" i="3"/>
  <c r="N34" i="3"/>
  <c r="M34" i="3"/>
  <c r="M9" i="3"/>
  <c r="N9" i="3"/>
  <c r="L9" i="3"/>
  <c r="O9" i="3" s="1"/>
  <c r="L49" i="3"/>
  <c r="M49" i="3"/>
  <c r="N49" i="3"/>
  <c r="L37" i="3"/>
  <c r="M37" i="3"/>
  <c r="N37" i="3"/>
  <c r="L25" i="3"/>
  <c r="M25" i="3"/>
  <c r="N25" i="3"/>
  <c r="L48" i="3"/>
  <c r="M48" i="3"/>
  <c r="N48" i="3"/>
  <c r="O10" i="3"/>
  <c r="R16" i="4"/>
  <c r="O52" i="3"/>
  <c r="O51" i="3"/>
  <c r="O42" i="3"/>
  <c r="O47" i="3"/>
  <c r="O27" i="3"/>
  <c r="C5" i="1"/>
  <c r="W18" i="1"/>
  <c r="X18" i="1"/>
  <c r="T18" i="1"/>
  <c r="O18" i="3"/>
  <c r="O15" i="3"/>
  <c r="O39" i="3"/>
  <c r="O43" i="3"/>
  <c r="O19" i="3"/>
  <c r="O14" i="3"/>
  <c r="O41" i="3"/>
  <c r="O29" i="3"/>
  <c r="O17" i="3"/>
  <c r="L13" i="2"/>
  <c r="Q18" i="1"/>
  <c r="V18" i="1"/>
  <c r="R18" i="1"/>
  <c r="E51" i="1"/>
  <c r="K51" i="1" s="1"/>
  <c r="K12" i="2"/>
  <c r="K13" i="2"/>
  <c r="M11" i="2"/>
  <c r="M13" i="2"/>
  <c r="M12" i="2"/>
  <c r="K11" i="2"/>
  <c r="L12" i="2"/>
  <c r="K16" i="2"/>
  <c r="L11" i="2"/>
  <c r="F68" i="1"/>
  <c r="L68" i="1" s="1"/>
  <c r="F66" i="1"/>
  <c r="L66" i="1" s="1"/>
  <c r="F64" i="1"/>
  <c r="L64" i="1" s="1"/>
  <c r="L50" i="1"/>
  <c r="E61" i="1"/>
  <c r="K61" i="1" s="1"/>
  <c r="F80" i="1"/>
  <c r="L80" i="1" s="1"/>
  <c r="E59" i="1"/>
  <c r="K59" i="1" s="1"/>
  <c r="E75" i="1"/>
  <c r="K75" i="1" s="1"/>
  <c r="G57" i="1"/>
  <c r="M57" i="1" s="1"/>
  <c r="G73" i="1"/>
  <c r="M73" i="1" s="1"/>
  <c r="G53" i="1"/>
  <c r="M53" i="1" s="1"/>
  <c r="G71" i="1"/>
  <c r="M71" i="1" s="1"/>
  <c r="F52" i="1"/>
  <c r="L52" i="1" s="1"/>
  <c r="G79" i="1"/>
  <c r="M79" i="1" s="1"/>
  <c r="F72" i="1"/>
  <c r="L72" i="1" s="1"/>
  <c r="G65" i="1"/>
  <c r="M65" i="1" s="1"/>
  <c r="F58" i="1"/>
  <c r="L58" i="1" s="1"/>
  <c r="G77" i="1"/>
  <c r="M77" i="1" s="1"/>
  <c r="E71" i="1"/>
  <c r="K71" i="1" s="1"/>
  <c r="G63" i="1"/>
  <c r="M63" i="1" s="1"/>
  <c r="F56" i="1"/>
  <c r="L56" i="1" s="1"/>
  <c r="E79" i="1"/>
  <c r="K79" i="1" s="1"/>
  <c r="E77" i="1"/>
  <c r="K77" i="1" s="1"/>
  <c r="G69" i="1"/>
  <c r="M69" i="1" s="1"/>
  <c r="E63" i="1"/>
  <c r="K63" i="1" s="1"/>
  <c r="G55" i="1"/>
  <c r="M55" i="1" s="1"/>
  <c r="F76" i="1"/>
  <c r="L76" i="1" s="1"/>
  <c r="E69" i="1"/>
  <c r="K69" i="1" s="1"/>
  <c r="G61" i="1"/>
  <c r="M61" i="1" s="1"/>
  <c r="E55" i="1"/>
  <c r="K55" i="1" s="1"/>
  <c r="F74" i="1"/>
  <c r="L74" i="1" s="1"/>
  <c r="E67" i="1"/>
  <c r="K67" i="1" s="1"/>
  <c r="E53" i="1"/>
  <c r="K53" i="1" s="1"/>
  <c r="G50" i="1"/>
  <c r="M50" i="1" s="1"/>
  <c r="F79" i="1"/>
  <c r="L79" i="1" s="1"/>
  <c r="G76" i="1"/>
  <c r="M76" i="1" s="1"/>
  <c r="E74" i="1"/>
  <c r="K74" i="1" s="1"/>
  <c r="F71" i="1"/>
  <c r="L71" i="1" s="1"/>
  <c r="G68" i="1"/>
  <c r="M68" i="1" s="1"/>
  <c r="E66" i="1"/>
  <c r="K66" i="1" s="1"/>
  <c r="F63" i="1"/>
  <c r="L63" i="1" s="1"/>
  <c r="G60" i="1"/>
  <c r="M60" i="1" s="1"/>
  <c r="E58" i="1"/>
  <c r="K58" i="1" s="1"/>
  <c r="F55" i="1"/>
  <c r="L55" i="1" s="1"/>
  <c r="G52" i="1"/>
  <c r="M52" i="1" s="1"/>
  <c r="F81" i="1"/>
  <c r="L81" i="1" s="1"/>
  <c r="G78" i="1"/>
  <c r="M78" i="1" s="1"/>
  <c r="E76" i="1"/>
  <c r="K76" i="1" s="1"/>
  <c r="F73" i="1"/>
  <c r="L73" i="1" s="1"/>
  <c r="G70" i="1"/>
  <c r="M70" i="1" s="1"/>
  <c r="E68" i="1"/>
  <c r="K68" i="1" s="1"/>
  <c r="F65" i="1"/>
  <c r="L65" i="1" s="1"/>
  <c r="G62" i="1"/>
  <c r="M62" i="1" s="1"/>
  <c r="E60" i="1"/>
  <c r="K60" i="1" s="1"/>
  <c r="F57" i="1"/>
  <c r="L57" i="1" s="1"/>
  <c r="G54" i="1"/>
  <c r="M54" i="1" s="1"/>
  <c r="E52" i="1"/>
  <c r="K52" i="1" s="1"/>
  <c r="E81" i="1"/>
  <c r="K81" i="1" s="1"/>
  <c r="F78" i="1"/>
  <c r="L78" i="1" s="1"/>
  <c r="G75" i="1"/>
  <c r="M75" i="1" s="1"/>
  <c r="E73" i="1"/>
  <c r="K73" i="1" s="1"/>
  <c r="F70" i="1"/>
  <c r="L70" i="1" s="1"/>
  <c r="G67" i="1"/>
  <c r="M67" i="1" s="1"/>
  <c r="E65" i="1"/>
  <c r="K65" i="1" s="1"/>
  <c r="F62" i="1"/>
  <c r="L62" i="1" s="1"/>
  <c r="G59" i="1"/>
  <c r="M59" i="1" s="1"/>
  <c r="E57" i="1"/>
  <c r="K57" i="1" s="1"/>
  <c r="F54" i="1"/>
  <c r="L54" i="1" s="1"/>
  <c r="G51" i="1"/>
  <c r="M51" i="1" s="1"/>
  <c r="G80" i="1"/>
  <c r="M80" i="1" s="1"/>
  <c r="E78" i="1"/>
  <c r="K78" i="1" s="1"/>
  <c r="F75" i="1"/>
  <c r="L75" i="1" s="1"/>
  <c r="G72" i="1"/>
  <c r="M72" i="1" s="1"/>
  <c r="E70" i="1"/>
  <c r="K70" i="1" s="1"/>
  <c r="F67" i="1"/>
  <c r="L67" i="1" s="1"/>
  <c r="G64" i="1"/>
  <c r="M64" i="1" s="1"/>
  <c r="E62" i="1"/>
  <c r="K62" i="1" s="1"/>
  <c r="F59" i="1"/>
  <c r="L59" i="1" s="1"/>
  <c r="G56" i="1"/>
  <c r="M56" i="1" s="1"/>
  <c r="E54" i="1"/>
  <c r="K54" i="1" s="1"/>
  <c r="F51" i="1"/>
  <c r="L51" i="1" s="1"/>
  <c r="E80" i="1"/>
  <c r="K80" i="1" s="1"/>
  <c r="F77" i="1"/>
  <c r="L77" i="1" s="1"/>
  <c r="G74" i="1"/>
  <c r="M74" i="1" s="1"/>
  <c r="E72" i="1"/>
  <c r="K72" i="1" s="1"/>
  <c r="F69" i="1"/>
  <c r="L69" i="1" s="1"/>
  <c r="G66" i="1"/>
  <c r="M66" i="1" s="1"/>
  <c r="E64" i="1"/>
  <c r="K64" i="1" s="1"/>
  <c r="F61" i="1"/>
  <c r="L61" i="1" s="1"/>
  <c r="G58" i="1"/>
  <c r="M58" i="1" s="1"/>
  <c r="F53" i="1"/>
  <c r="L53" i="1" s="1"/>
  <c r="E5" i="1"/>
  <c r="U16" i="4" l="1"/>
  <c r="J6" i="1"/>
  <c r="F6" i="1"/>
  <c r="I6" i="1"/>
  <c r="L6" i="1"/>
  <c r="O31" i="3"/>
  <c r="O33" i="3"/>
  <c r="O26" i="3"/>
  <c r="O40" i="3"/>
  <c r="O11" i="3"/>
  <c r="O23" i="3"/>
  <c r="O36" i="3"/>
  <c r="O21" i="3"/>
  <c r="O16" i="3"/>
  <c r="O38" i="3"/>
  <c r="O28" i="3"/>
  <c r="O22" i="3"/>
  <c r="M72" i="3"/>
  <c r="Y18" i="1"/>
  <c r="O20" i="3"/>
  <c r="O37" i="3"/>
  <c r="O34" i="3"/>
  <c r="O13" i="3"/>
  <c r="O46" i="3"/>
  <c r="O44" i="3"/>
  <c r="L72" i="3"/>
  <c r="O12" i="3"/>
  <c r="N72" i="3"/>
  <c r="O48" i="3"/>
  <c r="O24" i="3"/>
  <c r="D6" i="1"/>
  <c r="G6" i="1"/>
  <c r="U18" i="1"/>
  <c r="E6" i="1"/>
  <c r="S18" i="1"/>
  <c r="C6" i="1"/>
  <c r="O25" i="3"/>
  <c r="O49" i="3"/>
  <c r="B6" i="2"/>
  <c r="D6" i="2"/>
  <c r="N12" i="2"/>
  <c r="C6" i="2"/>
  <c r="L16" i="2"/>
  <c r="N13" i="2"/>
  <c r="M16" i="2"/>
  <c r="L82" i="1"/>
  <c r="Z13" i="1" s="1"/>
  <c r="K82" i="1"/>
  <c r="Z12" i="1" s="1"/>
  <c r="M82" i="1"/>
  <c r="Z14" i="1" s="1"/>
  <c r="Z18" i="1" s="1"/>
  <c r="H5" i="1" l="1"/>
  <c r="H6" i="1" s="1"/>
  <c r="K6" i="1"/>
  <c r="E6" i="2"/>
  <c r="O72" i="3"/>
  <c r="N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tc={AABEB212-BC9C-49BA-9AB8-FE44376029D9}</author>
  </authors>
  <commentList>
    <comment ref="P13" authorId="0" shapeId="0" xr:uid="{AABEB212-BC9C-49BA-9AB8-FE44376029D9}">
      <text>
        <t>[Threaded comment]
Your version of Excel allows you to read this threaded comment; however, any edits to it will get removed if the file is opened in a newer version of Excel. Learn more: https://go.microsoft.com/fwlink/?linkid=870924
Comment:
    Only operates in summer. Average hours per day over the year is 12.</t>
      </text>
    </comment>
  </commentList>
</comments>
</file>

<file path=xl/sharedStrings.xml><?xml version="1.0" encoding="utf-8"?>
<sst xmlns="http://schemas.openxmlformats.org/spreadsheetml/2006/main" count="757" uniqueCount="366">
  <si>
    <t>Emissions (short tons per year)</t>
  </si>
  <si>
    <t>CO</t>
  </si>
  <si>
    <r>
      <t>NO</t>
    </r>
    <r>
      <rPr>
        <b/>
        <i/>
        <sz val="8"/>
        <color rgb="FF37797B"/>
        <rFont val="Times New Roman"/>
        <family val="1"/>
      </rPr>
      <t>X</t>
    </r>
  </si>
  <si>
    <t>VOC</t>
  </si>
  <si>
    <r>
      <t>PM</t>
    </r>
    <r>
      <rPr>
        <b/>
        <i/>
        <sz val="8"/>
        <color rgb="FF37797B"/>
        <rFont val="Times New Roman"/>
        <family val="1"/>
      </rPr>
      <t>10</t>
    </r>
  </si>
  <si>
    <r>
      <t>PM</t>
    </r>
    <r>
      <rPr>
        <b/>
        <i/>
        <sz val="8"/>
        <color rgb="FF37797B"/>
        <rFont val="Times New Roman"/>
        <family val="1"/>
      </rPr>
      <t>2.5</t>
    </r>
  </si>
  <si>
    <r>
      <t>SO</t>
    </r>
    <r>
      <rPr>
        <b/>
        <i/>
        <sz val="8"/>
        <color rgb="FF37797B"/>
        <rFont val="Times New Roman"/>
        <family val="1"/>
      </rPr>
      <t>2</t>
    </r>
  </si>
  <si>
    <t>HAP</t>
  </si>
  <si>
    <t>CO2</t>
  </si>
  <si>
    <t>CH4</t>
  </si>
  <si>
    <t>N2O</t>
  </si>
  <si>
    <r>
      <t>CO</t>
    </r>
    <r>
      <rPr>
        <b/>
        <i/>
        <sz val="8"/>
        <color rgb="FF37797B"/>
        <rFont val="Times New Roman"/>
        <family val="1"/>
      </rPr>
      <t>2</t>
    </r>
    <r>
      <rPr>
        <b/>
        <sz val="8"/>
        <color rgb="FF37797B"/>
        <rFont val="Times New Roman"/>
        <family val="1"/>
      </rPr>
      <t>e</t>
    </r>
  </si>
  <si>
    <t>Emissions</t>
  </si>
  <si>
    <t>Construction Equipment</t>
  </si>
  <si>
    <t>Operations Equipment</t>
  </si>
  <si>
    <t>Subtotal</t>
  </si>
  <si>
    <t>Table 4.4-2:  Construction-Related Air Pollutant Emission Calculations</t>
  </si>
  <si>
    <t>Emission Factors</t>
  </si>
  <si>
    <t>Equipment/Phase</t>
  </si>
  <si>
    <t>FUEL</t>
  </si>
  <si>
    <t>HP</t>
  </si>
  <si>
    <t>Load Factor</t>
  </si>
  <si>
    <t>ROG (lbs/hr)</t>
  </si>
  <si>
    <t>CO   (lbs/hr)</t>
  </si>
  <si>
    <t>NOX (lbs/hr)</t>
  </si>
  <si>
    <t>SOX (lbs/hr)</t>
  </si>
  <si>
    <t>PM10 (lbs/hr)</t>
  </si>
  <si>
    <t>PM2.5 (lbs/hr)</t>
  </si>
  <si>
    <t>CO2  (lbs/hr)</t>
  </si>
  <si>
    <t>CH4  (lbs/hr)</t>
  </si>
  <si>
    <t>MMBTU/hr</t>
  </si>
  <si>
    <t>N2O
(lbs/hr)</t>
  </si>
  <si>
    <t>No of Equipment</t>
  </si>
  <si>
    <t>Average Hrs Per Day</t>
  </si>
  <si>
    <r>
      <rPr>
        <b/>
        <sz val="8"/>
        <rFont val="Arial"/>
        <family val="2"/>
      </rPr>
      <t>ROG
lbs/day</t>
    </r>
  </si>
  <si>
    <r>
      <rPr>
        <b/>
        <sz val="8"/>
        <rFont val="Arial"/>
        <family val="2"/>
      </rPr>
      <t>CO
lbs/day</t>
    </r>
  </si>
  <si>
    <r>
      <rPr>
        <b/>
        <sz val="8"/>
        <rFont val="Arial"/>
        <family val="2"/>
      </rPr>
      <t>NOX
lbs/day</t>
    </r>
  </si>
  <si>
    <r>
      <rPr>
        <b/>
        <sz val="8"/>
        <rFont val="Arial"/>
        <family val="2"/>
      </rPr>
      <t>SOX
lbs/day</t>
    </r>
  </si>
  <si>
    <r>
      <rPr>
        <b/>
        <sz val="8"/>
        <rFont val="Arial"/>
        <family val="2"/>
      </rPr>
      <t>PM10
lbs/day</t>
    </r>
  </si>
  <si>
    <r>
      <rPr>
        <b/>
        <sz val="8"/>
        <rFont val="Arial"/>
        <family val="2"/>
      </rPr>
      <t>PM2.5
lbs/day</t>
    </r>
  </si>
  <si>
    <t>CO2  lbs/day</t>
  </si>
  <si>
    <r>
      <rPr>
        <b/>
        <sz val="8"/>
        <rFont val="Arial"/>
        <family val="2"/>
      </rPr>
      <t>CH4
lbs/day</t>
    </r>
  </si>
  <si>
    <t>N2O
(lbs/day)</t>
  </si>
  <si>
    <t>HAP
lbs/day</t>
  </si>
  <si>
    <t>Haul Truck - CAT 785</t>
  </si>
  <si>
    <t>DIESEL</t>
  </si>
  <si>
    <t>Water Truck</t>
  </si>
  <si>
    <t>Generator</t>
  </si>
  <si>
    <t>Excavators</t>
  </si>
  <si>
    <t>Loaders</t>
  </si>
  <si>
    <t>Graders</t>
  </si>
  <si>
    <t xml:space="preserve">Reference: Off-Road - Model Mobile Source Emission Factors, California South Coast Air Quality Management District </t>
  </si>
  <si>
    <t> E = n x H x EF</t>
  </si>
  <si>
    <t>    E = emission in pounds per day</t>
  </si>
  <si>
    <t>    n = number of pieces of equipment in a specified equipment category</t>
  </si>
  <si>
    <t>    H = hours per day of equipment operation</t>
  </si>
  <si>
    <t xml:space="preserve">EF = the off-road mobile source emission factor by equipment category or horsepower-based equipment category in pounds per hour </t>
  </si>
  <si>
    <t>SCAB Fleet Average Emission Factors (Diesel)</t>
  </si>
  <si>
    <t>Air Basin</t>
  </si>
  <si>
    <t>SC</t>
  </si>
  <si>
    <t>(lb/hr)</t>
  </si>
  <si>
    <t>Equipment</t>
  </si>
  <si>
    <t>MaxHP</t>
  </si>
  <si>
    <t>ROG</t>
  </si>
  <si>
    <t>NOX</t>
  </si>
  <si>
    <t>SOX</t>
  </si>
  <si>
    <t>PM</t>
  </si>
  <si>
    <t>Off-Highway Trucks</t>
  </si>
  <si>
    <t>Generator Sets</t>
  </si>
  <si>
    <t>Tractors/Loaders/Backhoes</t>
  </si>
  <si>
    <t>off-road emission factors, "Off-road Mobile Source Emission Factors (Scenario Years 2007 – 2025)", https://www.aqmd.gov/docs/default-source/ceqa/handbook/emission-factors/off-road-mobile-source-emission-factors-(scenario-years-2007-2025).xls?sfvrsn=2</t>
  </si>
  <si>
    <t>Pollutant</t>
  </si>
  <si>
    <t>Emission Factor
Rating</t>
  </si>
  <si>
    <t>Source (AP‐42
Table)</t>
  </si>
  <si>
    <r>
      <t>Emission Factor (lb/MMBtu)</t>
    </r>
    <r>
      <rPr>
        <b/>
        <vertAlign val="superscript"/>
        <sz val="8"/>
        <color rgb="FF000000"/>
        <rFont val="Arial"/>
        <family val="2"/>
      </rPr>
      <t>a</t>
    </r>
  </si>
  <si>
    <t>HAP (lb/hr) Haul Trucks</t>
  </si>
  <si>
    <t>HAP (lb/hr) Water Trucks</t>
  </si>
  <si>
    <t>HAP (lb/hr) Generators</t>
  </si>
  <si>
    <t>HAP
Excavators
(lb/hr)</t>
  </si>
  <si>
    <t>HAP
Loaders
(lb/hr)</t>
  </si>
  <si>
    <t>HAP
Graders
(lb/hr)</t>
  </si>
  <si>
    <t>HAP
(lbs/day) Haul Trucks</t>
  </si>
  <si>
    <t>HAP
(lbs/day) Water Trucks</t>
  </si>
  <si>
    <t>HAP
(lbs/day) Generators</t>
  </si>
  <si>
    <t>HAP
(lbs/day) Excavators</t>
  </si>
  <si>
    <t>HAP
(lbs/day) Loaders</t>
  </si>
  <si>
    <t>HAP
(lbs/day) Graders</t>
  </si>
  <si>
    <t>Organic Compounds</t>
  </si>
  <si>
    <r>
      <t>Benzene</t>
    </r>
    <r>
      <rPr>
        <vertAlign val="superscript"/>
        <sz val="8"/>
        <rFont val="Arial"/>
        <family val="2"/>
      </rPr>
      <t>b</t>
    </r>
  </si>
  <si>
    <t>E</t>
  </si>
  <si>
    <t>3.4‐3</t>
  </si>
  <si>
    <r>
      <t>Toluene</t>
    </r>
    <r>
      <rPr>
        <vertAlign val="superscript"/>
        <sz val="8"/>
        <rFont val="Arial"/>
        <family val="2"/>
      </rPr>
      <t>b</t>
    </r>
  </si>
  <si>
    <r>
      <t>Xylene</t>
    </r>
    <r>
      <rPr>
        <vertAlign val="superscript"/>
        <sz val="8"/>
        <rFont val="Arial"/>
        <family val="2"/>
      </rPr>
      <t>b</t>
    </r>
  </si>
  <si>
    <t>Propylene</t>
  </si>
  <si>
    <r>
      <t>Formaldehyde</t>
    </r>
    <r>
      <rPr>
        <vertAlign val="superscript"/>
        <sz val="8"/>
        <rFont val="Arial"/>
        <family val="2"/>
      </rPr>
      <t>b</t>
    </r>
  </si>
  <si>
    <r>
      <t>Acetaldehyde</t>
    </r>
    <r>
      <rPr>
        <vertAlign val="superscript"/>
        <sz val="8"/>
        <rFont val="Arial"/>
        <family val="2"/>
      </rPr>
      <t>b</t>
    </r>
  </si>
  <si>
    <r>
      <rPr>
        <sz val="8"/>
        <rFont val="Arial"/>
        <family val="2"/>
      </rPr>
      <t>Acrolein</t>
    </r>
    <r>
      <rPr>
        <vertAlign val="superscript"/>
        <sz val="8"/>
        <rFont val="Arial"/>
        <family val="2"/>
      </rPr>
      <t xml:space="preserve">b
</t>
    </r>
    <r>
      <rPr>
        <sz val="8"/>
        <rFont val="Arial"/>
        <family val="2"/>
      </rPr>
      <t>PAH</t>
    </r>
  </si>
  <si>
    <r>
      <t>Naphthalene</t>
    </r>
    <r>
      <rPr>
        <vertAlign val="superscript"/>
        <sz val="8"/>
        <rFont val="Arial"/>
        <family val="2"/>
      </rPr>
      <t>b</t>
    </r>
  </si>
  <si>
    <t>3.4‐4</t>
  </si>
  <si>
    <r>
      <t>Acenaphthylene</t>
    </r>
    <r>
      <rPr>
        <vertAlign val="superscript"/>
        <sz val="8"/>
        <rFont val="Arial"/>
        <family val="2"/>
      </rPr>
      <t>b</t>
    </r>
  </si>
  <si>
    <r>
      <t>Acenaphthene</t>
    </r>
    <r>
      <rPr>
        <vertAlign val="superscript"/>
        <sz val="8"/>
        <rFont val="Arial"/>
        <family val="2"/>
      </rPr>
      <t>b</t>
    </r>
  </si>
  <si>
    <r>
      <t>Fluorene</t>
    </r>
    <r>
      <rPr>
        <vertAlign val="superscript"/>
        <sz val="8"/>
        <rFont val="Arial"/>
        <family val="2"/>
      </rPr>
      <t>b</t>
    </r>
  </si>
  <si>
    <r>
      <t>Phenanthrene</t>
    </r>
    <r>
      <rPr>
        <vertAlign val="superscript"/>
        <sz val="8"/>
        <rFont val="Arial"/>
        <family val="2"/>
      </rPr>
      <t>b</t>
    </r>
  </si>
  <si>
    <r>
      <t>Anthracene</t>
    </r>
    <r>
      <rPr>
        <vertAlign val="superscript"/>
        <sz val="8"/>
        <rFont val="Arial"/>
        <family val="2"/>
      </rPr>
      <t>b</t>
    </r>
  </si>
  <si>
    <r>
      <t>Fluoranthene</t>
    </r>
    <r>
      <rPr>
        <vertAlign val="superscript"/>
        <sz val="8"/>
        <rFont val="Arial"/>
        <family val="2"/>
      </rPr>
      <t>b</t>
    </r>
  </si>
  <si>
    <r>
      <t>Pyrene</t>
    </r>
    <r>
      <rPr>
        <vertAlign val="superscript"/>
        <sz val="8"/>
        <rFont val="Arial"/>
        <family val="2"/>
      </rPr>
      <t>b</t>
    </r>
  </si>
  <si>
    <r>
      <t>Benz(a)anthracene</t>
    </r>
    <r>
      <rPr>
        <vertAlign val="superscript"/>
        <sz val="8"/>
        <rFont val="Arial"/>
        <family val="2"/>
      </rPr>
      <t>b</t>
    </r>
  </si>
  <si>
    <r>
      <t>Chrysene</t>
    </r>
    <r>
      <rPr>
        <vertAlign val="superscript"/>
        <sz val="8"/>
        <rFont val="Arial"/>
        <family val="2"/>
      </rPr>
      <t>b</t>
    </r>
  </si>
  <si>
    <r>
      <t>Benzo(b)fluoranthene</t>
    </r>
    <r>
      <rPr>
        <vertAlign val="superscript"/>
        <sz val="8"/>
        <rFont val="Arial"/>
        <family val="2"/>
      </rPr>
      <t>b</t>
    </r>
  </si>
  <si>
    <r>
      <t>Benzo(k)fluoranthene</t>
    </r>
    <r>
      <rPr>
        <vertAlign val="superscript"/>
        <sz val="8"/>
        <rFont val="Arial"/>
        <family val="2"/>
      </rPr>
      <t>b</t>
    </r>
  </si>
  <si>
    <r>
      <t>Benzo(a)pyrene</t>
    </r>
    <r>
      <rPr>
        <vertAlign val="superscript"/>
        <sz val="8"/>
        <rFont val="Arial"/>
        <family val="2"/>
      </rPr>
      <t>b</t>
    </r>
  </si>
  <si>
    <r>
      <t>Indeno(1,2,3‐cd)pyrene</t>
    </r>
    <r>
      <rPr>
        <vertAlign val="superscript"/>
        <sz val="8"/>
        <rFont val="Arial"/>
        <family val="2"/>
      </rPr>
      <t>b</t>
    </r>
  </si>
  <si>
    <r>
      <t>Dibenz(a,h)anthracene</t>
    </r>
    <r>
      <rPr>
        <vertAlign val="superscript"/>
        <sz val="8"/>
        <rFont val="Arial"/>
        <family val="2"/>
      </rPr>
      <t>b</t>
    </r>
  </si>
  <si>
    <r>
      <t>Benzo(g,h,i)perylene</t>
    </r>
    <r>
      <rPr>
        <vertAlign val="superscript"/>
        <sz val="8"/>
        <rFont val="Arial"/>
        <family val="2"/>
      </rPr>
      <t>b</t>
    </r>
  </si>
  <si>
    <r>
      <t>TOTAL PAH
Metals and inorganics</t>
    </r>
    <r>
      <rPr>
        <vertAlign val="superscript"/>
        <sz val="8"/>
        <rFont val="Arial"/>
        <family val="2"/>
      </rPr>
      <t>c</t>
    </r>
    <r>
      <rPr>
        <sz val="8"/>
        <rFont val="Arial"/>
        <family val="2"/>
      </rPr>
      <t xml:space="preserve"> Arsenic</t>
    </r>
    <r>
      <rPr>
        <vertAlign val="superscript"/>
        <sz val="8"/>
        <rFont val="Arial"/>
        <family val="2"/>
      </rPr>
      <t>b</t>
    </r>
    <r>
      <rPr>
        <sz val="8"/>
        <rFont val="Arial"/>
        <family val="2"/>
      </rPr>
      <t xml:space="preserve">           Cadmium</t>
    </r>
    <r>
      <rPr>
        <vertAlign val="superscript"/>
        <sz val="8"/>
        <rFont val="Arial"/>
        <family val="2"/>
      </rPr>
      <t xml:space="preserve">b       </t>
    </r>
    <r>
      <rPr>
        <sz val="8"/>
        <rFont val="Arial"/>
        <family val="2"/>
      </rPr>
      <t xml:space="preserve"> Chromium</t>
    </r>
    <r>
      <rPr>
        <vertAlign val="superscript"/>
        <sz val="8"/>
        <rFont val="Arial"/>
        <family val="2"/>
      </rPr>
      <t>b</t>
    </r>
    <r>
      <rPr>
        <sz val="8"/>
        <rFont val="Arial"/>
        <family val="2"/>
      </rPr>
      <t xml:space="preserve">       Chromium VI</t>
    </r>
    <r>
      <rPr>
        <vertAlign val="superscript"/>
        <sz val="8"/>
        <rFont val="Arial"/>
        <family val="2"/>
      </rPr>
      <t>b,</t>
    </r>
    <r>
      <rPr>
        <sz val="8"/>
        <rFont val="Arial"/>
        <family val="2"/>
      </rPr>
      <t xml:space="preserve"> </t>
    </r>
    <r>
      <rPr>
        <vertAlign val="superscript"/>
        <sz val="8"/>
        <rFont val="Arial"/>
        <family val="2"/>
      </rPr>
      <t>d</t>
    </r>
    <r>
      <rPr>
        <sz val="8"/>
        <rFont val="Arial"/>
        <family val="2"/>
      </rPr>
      <t xml:space="preserve">      Lead</t>
    </r>
    <r>
      <rPr>
        <vertAlign val="superscript"/>
        <sz val="8"/>
        <rFont val="Arial"/>
        <family val="2"/>
      </rPr>
      <t xml:space="preserve">b
</t>
    </r>
    <r>
      <rPr>
        <sz val="8"/>
        <rFont val="Arial"/>
        <family val="2"/>
      </rPr>
      <t>Mercury</t>
    </r>
    <r>
      <rPr>
        <vertAlign val="superscript"/>
        <sz val="8"/>
        <rFont val="Arial"/>
        <family val="2"/>
      </rPr>
      <t>b</t>
    </r>
    <r>
      <rPr>
        <sz val="8"/>
        <rFont val="Arial"/>
        <family val="2"/>
      </rPr>
      <t xml:space="preserve">              Nickel</t>
    </r>
    <r>
      <rPr>
        <vertAlign val="superscript"/>
        <sz val="8"/>
        <rFont val="Arial"/>
        <family val="2"/>
      </rPr>
      <t xml:space="preserve">b
</t>
    </r>
    <r>
      <rPr>
        <sz val="8"/>
        <rFont val="Arial"/>
        <family val="2"/>
      </rPr>
      <t>Selenium</t>
    </r>
    <r>
      <rPr>
        <vertAlign val="superscript"/>
        <sz val="8"/>
        <rFont val="Arial"/>
        <family val="2"/>
      </rPr>
      <t>b</t>
    </r>
  </si>
  <si>
    <t>Total</t>
  </si>
  <si>
    <r>
      <rPr>
        <vertAlign val="superscript"/>
        <sz val="8.5"/>
        <rFont val="Times New Roman"/>
        <family val="1"/>
      </rPr>
      <t>a</t>
    </r>
    <r>
      <rPr>
        <sz val="8.5"/>
        <rFont val="Times New Roman"/>
        <family val="1"/>
      </rPr>
      <t xml:space="preserve"> Values preceded by "&lt;" are based on method detection limits.
</t>
    </r>
    <r>
      <rPr>
        <vertAlign val="superscript"/>
        <sz val="8.5"/>
        <rFont val="Times New Roman"/>
        <family val="1"/>
      </rPr>
      <t>b</t>
    </r>
    <r>
      <rPr>
        <sz val="8.5"/>
        <rFont val="Times New Roman"/>
        <family val="1"/>
      </rPr>
      <t xml:space="preserve"> Specifically listed as a "Hazardous Air Pollutant" (HAP) in the Clean Air Act, or a component of Polycyclic Organic Matter, which is also listed as a HAP.
</t>
    </r>
    <r>
      <rPr>
        <vertAlign val="superscript"/>
        <sz val="8.5"/>
        <rFont val="Times New Roman"/>
        <family val="1"/>
      </rPr>
      <t>c</t>
    </r>
    <r>
      <rPr>
        <sz val="8.5"/>
        <rFont val="Times New Roman"/>
        <family val="1"/>
      </rPr>
      <t xml:space="preserve"> </t>
    </r>
    <r>
      <rPr>
        <sz val="8.5"/>
        <rFont val="Cambria"/>
        <family val="1"/>
      </rPr>
      <t xml:space="preserve">Metal emissions are based on the paper </t>
    </r>
    <r>
      <rPr>
        <i/>
        <sz val="7.5"/>
        <rFont val="Cambria"/>
        <family val="1"/>
      </rPr>
      <t xml:space="preserve">Survey of Ultra‐Trace Metals in Gas Turbine Fuels, </t>
    </r>
    <r>
      <rPr>
        <sz val="8.5"/>
        <rFont val="Times New Roman"/>
        <family val="1"/>
      </rPr>
      <t xml:space="preserve">11th Annual International Petroleum Conference, Oct 12-15, 2004.  Where trace metals were detected in any of 13 samples, the average result is used.  Where no metals were detected
</t>
    </r>
    <r>
      <rPr>
        <sz val="8.5"/>
        <rFont val="Times New Roman"/>
        <family val="1"/>
      </rPr>
      <t xml:space="preserve">in any of 13 samples, the detection limit is used.
</t>
    </r>
    <r>
      <rPr>
        <vertAlign val="superscript"/>
        <sz val="8.5"/>
        <rFont val="Times New Roman"/>
        <family val="1"/>
      </rPr>
      <t>d</t>
    </r>
    <r>
      <rPr>
        <sz val="8.5"/>
        <rFont val="Times New Roman"/>
        <family val="1"/>
      </rPr>
      <t xml:space="preserve">  Hexavalent chrome was not detected in any fuel oil samples (in the note f reference study). However, to allow for potential hex chrome emissions formed during combustion, 18% of the total chrome emissions were assumed to be hex chrome (per EPA 453/R-98-004a)
</t>
    </r>
    <r>
      <rPr>
        <vertAlign val="superscript"/>
        <sz val="8.5"/>
        <rFont val="Times New Roman"/>
        <family val="1"/>
      </rPr>
      <t>e</t>
    </r>
    <r>
      <rPr>
        <sz val="8.5"/>
        <rFont val="Times New Roman"/>
        <family val="1"/>
      </rPr>
      <t xml:space="preserve"> Total calculated using the TOTAL PAH emission factor instead of factors for individual PAH.</t>
    </r>
  </si>
  <si>
    <t>Construction Activity</t>
  </si>
  <si>
    <t>Passenger Vehicles</t>
  </si>
  <si>
    <t>Logging Equipment</t>
  </si>
  <si>
    <t>AP-42 Chapter 4: Table 4.4-2:  Other Air Pollutant Emission Calculations</t>
  </si>
  <si>
    <t>FUEL
(Choose GASOLINE or DIESEL)</t>
  </si>
  <si>
    <t>Fuel Efficiency
(mpg)</t>
  </si>
  <si>
    <t>Miles Travelled
(Miles Per Day)</t>
  </si>
  <si>
    <t>Fuel Consumed
(gallons)</t>
  </si>
  <si>
    <t>HHV of Fuel (mmBtu/gal)</t>
  </si>
  <si>
    <t>CO2 EF</t>
  </si>
  <si>
    <t>CH4 EF</t>
  </si>
  <si>
    <t>N2O EF</t>
  </si>
  <si>
    <t>CO2  kg/day</t>
  </si>
  <si>
    <t>CH4
kg/day</t>
  </si>
  <si>
    <t>N2O
kg/day</t>
  </si>
  <si>
    <t>CO2e
kg/day</t>
  </si>
  <si>
    <t>GASOLINE</t>
  </si>
  <si>
    <t>Small Logging Equipment</t>
  </si>
  <si>
    <t>N/A</t>
  </si>
  <si>
    <t>Large Logging Fellers</t>
  </si>
  <si>
    <t xml:space="preserve">Reference: Passenger Vehicle - Model Mobile Source Emission Factors, California South Coast Air Quality Management District </t>
  </si>
  <si>
    <t> E = n x M x EF / e</t>
  </si>
  <si>
    <t>    n = number of vehicles in a specified equipment category</t>
  </si>
  <si>
    <t>    M = miles travelled per day of equipment operation</t>
  </si>
  <si>
    <t>e = fuel efficiency of vehicle</t>
  </si>
  <si>
    <t>Emission factor for fuel use from 40 CFR Part 98 Subpart C Tables C-1 and C-2</t>
  </si>
  <si>
    <t>Fuel</t>
  </si>
  <si>
    <t>Default HHV</t>
  </si>
  <si>
    <t>mmBtu / gallon</t>
  </si>
  <si>
    <t>kg / mmBtu</t>
  </si>
  <si>
    <t>Motor Gasoline</t>
  </si>
  <si>
    <t>No 2 Fuel Oil (diesel)</t>
  </si>
  <si>
    <t>GWPs from IPCC AR4 (MN EAQ Climate Guidance 2)</t>
  </si>
  <si>
    <r>
      <rPr>
        <b/>
        <sz val="5"/>
        <rFont val="Arial"/>
        <family val="2"/>
      </rPr>
      <t xml:space="preserve">UKU-31-1557
</t>
    </r>
    <r>
      <rPr>
        <b/>
        <sz val="5"/>
        <rFont val="Arial"/>
        <family val="2"/>
      </rPr>
      <t>US STEEL - PRE-FEASIBILITY STUDY MECHANICAL EQUIPMENT LIST</t>
    </r>
  </si>
  <si>
    <r>
      <rPr>
        <sz val="2.5"/>
        <rFont val="Arial"/>
        <family val="2"/>
      </rPr>
      <t xml:space="preserve">OFF CODE
</t>
    </r>
    <r>
      <rPr>
        <b/>
        <sz val="4"/>
        <rFont val="Arial"/>
        <family val="2"/>
      </rPr>
      <t>31</t>
    </r>
  </si>
  <si>
    <r>
      <rPr>
        <sz val="2.5"/>
        <rFont val="Arial"/>
        <family val="2"/>
      </rPr>
      <t xml:space="preserve">PROJ CODE
</t>
    </r>
    <r>
      <rPr>
        <b/>
        <sz val="4"/>
        <rFont val="Arial"/>
        <family val="2"/>
      </rPr>
      <t>1557</t>
    </r>
  </si>
  <si>
    <r>
      <rPr>
        <sz val="2.5"/>
        <rFont val="Arial"/>
        <family val="2"/>
      </rPr>
      <t xml:space="preserve">AREA CODE
</t>
    </r>
    <r>
      <rPr>
        <b/>
        <sz val="4"/>
        <rFont val="Arial"/>
        <family val="2"/>
      </rPr>
      <t>00</t>
    </r>
  </si>
  <si>
    <r>
      <rPr>
        <sz val="2.5"/>
        <rFont val="Arial"/>
        <family val="2"/>
      </rPr>
      <t xml:space="preserve">DISC CODE
</t>
    </r>
    <r>
      <rPr>
        <b/>
        <sz val="4"/>
        <rFont val="Arial"/>
        <family val="2"/>
      </rPr>
      <t>ME</t>
    </r>
  </si>
  <si>
    <r>
      <rPr>
        <sz val="2.5"/>
        <rFont val="Arial"/>
        <family val="2"/>
      </rPr>
      <t xml:space="preserve">DOC TYPE
</t>
    </r>
    <r>
      <rPr>
        <b/>
        <sz val="4"/>
        <rFont val="Arial"/>
        <family val="2"/>
      </rPr>
      <t>LST</t>
    </r>
  </si>
  <si>
    <r>
      <rPr>
        <sz val="2.5"/>
        <rFont val="Arial"/>
        <family val="2"/>
      </rPr>
      <t xml:space="preserve">SEQ NO
</t>
    </r>
    <r>
      <rPr>
        <b/>
        <sz val="4"/>
        <rFont val="Arial"/>
        <family val="2"/>
      </rPr>
      <t>0001</t>
    </r>
  </si>
  <si>
    <r>
      <rPr>
        <sz val="2.5"/>
        <rFont val="Arial"/>
        <family val="2"/>
      </rPr>
      <t xml:space="preserve">REV
</t>
    </r>
    <r>
      <rPr>
        <b/>
        <sz val="4"/>
        <rFont val="Arial"/>
        <family val="2"/>
      </rPr>
      <t>B</t>
    </r>
  </si>
  <si>
    <r>
      <rPr>
        <sz val="2.5"/>
        <rFont val="Arial"/>
        <family val="2"/>
      </rPr>
      <t xml:space="preserve">DATE
</t>
    </r>
    <r>
      <rPr>
        <b/>
        <sz val="4"/>
        <rFont val="Arial"/>
        <family val="2"/>
      </rPr>
      <t>30 January 2023</t>
    </r>
  </si>
  <si>
    <r>
      <rPr>
        <sz val="2.5"/>
        <rFont val="Arial"/>
        <family val="2"/>
      </rPr>
      <t xml:space="preserve">TOTAL PAGES
</t>
    </r>
    <r>
      <rPr>
        <b/>
        <sz val="4"/>
        <rFont val="Arial"/>
        <family val="2"/>
      </rPr>
      <t>2</t>
    </r>
  </si>
  <si>
    <r>
      <rPr>
        <sz val="3.5"/>
        <rFont val="Arial"/>
        <family val="2"/>
      </rPr>
      <t>REV</t>
    </r>
  </si>
  <si>
    <r>
      <rPr>
        <sz val="3.5"/>
        <rFont val="Arial"/>
        <family val="2"/>
      </rPr>
      <t>DATE</t>
    </r>
  </si>
  <si>
    <r>
      <rPr>
        <sz val="3.5"/>
        <rFont val="Arial"/>
        <family val="2"/>
      </rPr>
      <t>REVISION</t>
    </r>
  </si>
  <si>
    <r>
      <rPr>
        <sz val="3.5"/>
        <rFont val="Arial"/>
        <family val="2"/>
      </rPr>
      <t>PREPARED</t>
    </r>
  </si>
  <si>
    <r>
      <rPr>
        <sz val="3.5"/>
        <rFont val="Arial"/>
        <family val="2"/>
      </rPr>
      <t>CHECKED</t>
    </r>
  </si>
  <si>
    <r>
      <rPr>
        <sz val="3.5"/>
        <rFont val="Arial"/>
        <family val="2"/>
      </rPr>
      <t>CLIENT APPROVAL</t>
    </r>
  </si>
  <si>
    <r>
      <rPr>
        <sz val="3.5"/>
        <rFont val="Arial"/>
        <family val="2"/>
      </rPr>
      <t>A</t>
    </r>
  </si>
  <si>
    <r>
      <rPr>
        <sz val="3.5"/>
        <rFont val="Arial"/>
        <family val="2"/>
      </rPr>
      <t>Issued for client review</t>
    </r>
  </si>
  <si>
    <r>
      <rPr>
        <sz val="3.5"/>
        <rFont val="Arial"/>
        <family val="2"/>
      </rPr>
      <t>EDW/DBA</t>
    </r>
  </si>
  <si>
    <r>
      <rPr>
        <sz val="3.5"/>
        <rFont val="Arial"/>
        <family val="2"/>
      </rPr>
      <t>MJ/RG</t>
    </r>
  </si>
  <si>
    <r>
      <rPr>
        <sz val="3.5"/>
        <rFont val="Arial"/>
        <family val="2"/>
      </rPr>
      <t>-</t>
    </r>
  </si>
  <si>
    <r>
      <rPr>
        <sz val="3.5"/>
        <rFont val="Arial"/>
        <family val="2"/>
      </rPr>
      <t>B</t>
    </r>
  </si>
  <si>
    <r>
      <rPr>
        <sz val="3.5"/>
        <rFont val="Arial"/>
        <family val="2"/>
      </rPr>
      <t>RG</t>
    </r>
  </si>
  <si>
    <r>
      <rPr>
        <b/>
        <sz val="3.5"/>
        <rFont val="Arial"/>
        <family val="2"/>
      </rPr>
      <t>Drawing Number</t>
    </r>
  </si>
  <si>
    <r>
      <rPr>
        <b/>
        <sz val="3.5"/>
        <rFont val="Arial"/>
        <family val="2"/>
      </rPr>
      <t>Tag Number</t>
    </r>
  </si>
  <si>
    <r>
      <rPr>
        <b/>
        <sz val="3.5"/>
        <rFont val="Arial"/>
        <family val="2"/>
      </rPr>
      <t>Name</t>
    </r>
  </si>
  <si>
    <t>Electrical Demand</t>
  </si>
  <si>
    <r>
      <rPr>
        <b/>
        <sz val="3.5"/>
        <rFont val="Arial"/>
        <family val="2"/>
      </rPr>
      <t>Size (Specification)</t>
    </r>
  </si>
  <si>
    <t>Motor Size (kW)</t>
  </si>
  <si>
    <r>
      <rPr>
        <b/>
        <sz val="3.5"/>
        <rFont val="Arial"/>
        <family val="2"/>
      </rPr>
      <t>Motor Size (HP)</t>
    </r>
  </si>
  <si>
    <r>
      <rPr>
        <b/>
        <sz val="3.5"/>
        <rFont val="Arial"/>
        <family val="2"/>
      </rPr>
      <t>Operating Mode</t>
    </r>
  </si>
  <si>
    <r>
      <rPr>
        <b/>
        <sz val="3.5"/>
        <rFont val="Arial"/>
        <family val="2"/>
      </rPr>
      <t>Starting Method</t>
    </r>
  </si>
  <si>
    <t>Usage Factor</t>
  </si>
  <si>
    <t>Annual Usage
(MWhr)</t>
  </si>
  <si>
    <t>CO2 Emissions
(short tons)</t>
  </si>
  <si>
    <t>CH4 Emissions
(short tons)</t>
  </si>
  <si>
    <t>N2O Emissons
(short tons)</t>
  </si>
  <si>
    <t>CO2e Emissions
(short tons)</t>
  </si>
  <si>
    <r>
      <rPr>
        <b/>
        <sz val="3.5"/>
        <rFont val="Arial"/>
        <family val="2"/>
      </rPr>
      <t>Comments</t>
    </r>
  </si>
  <si>
    <r>
      <rPr>
        <sz val="3.5"/>
        <rFont val="Arial"/>
        <family val="2"/>
      </rPr>
      <t>31-1557-10-PR-PID-0001</t>
    </r>
  </si>
  <si>
    <r>
      <rPr>
        <sz val="3.5"/>
        <rFont val="Arial"/>
        <family val="2"/>
      </rPr>
      <t>10-TK-0001</t>
    </r>
  </si>
  <si>
    <r>
      <rPr>
        <sz val="3.5"/>
        <rFont val="Arial"/>
        <family val="2"/>
      </rPr>
      <t>CYCLONE FEED TANK</t>
    </r>
  </si>
  <si>
    <t>No</t>
  </si>
  <si>
    <r>
      <rPr>
        <sz val="3.5"/>
        <rFont val="Arial"/>
        <family val="2"/>
      </rPr>
      <t>Cylindrical tank, carbon steel, 21 ft diameter, 30 ft height, active volume 67,628 gal</t>
    </r>
  </si>
  <si>
    <r>
      <rPr>
        <sz val="3.5"/>
        <rFont val="Arial"/>
        <family val="2"/>
      </rPr>
      <t>5 MINUTES RETENTION TIME AT NOMINAL FLOW</t>
    </r>
  </si>
  <si>
    <r>
      <rPr>
        <sz val="3.5"/>
        <rFont val="Arial"/>
        <family val="2"/>
      </rPr>
      <t>10-AG-0001</t>
    </r>
  </si>
  <si>
    <r>
      <rPr>
        <sz val="3.5"/>
        <rFont val="Arial"/>
        <family val="2"/>
      </rPr>
      <t>CYCLONE FEED TANK AGITATOR</t>
    </r>
  </si>
  <si>
    <t>Yes</t>
  </si>
  <si>
    <r>
      <rPr>
        <sz val="3.5"/>
        <rFont val="Arial"/>
        <family val="2"/>
      </rPr>
      <t>Lightnin Mixer Model 780Q75</t>
    </r>
  </si>
  <si>
    <r>
      <rPr>
        <sz val="3.5"/>
        <rFont val="Arial"/>
        <family val="2"/>
      </rPr>
      <t>OPERATING</t>
    </r>
  </si>
  <si>
    <r>
      <rPr>
        <sz val="3.5"/>
        <rFont val="Arial"/>
        <family val="2"/>
      </rPr>
      <t>FIXED SPEED</t>
    </r>
  </si>
  <si>
    <r>
      <rPr>
        <sz val="3.5"/>
        <rFont val="Arial"/>
        <family val="2"/>
      </rPr>
      <t>10-PU-0001</t>
    </r>
  </si>
  <si>
    <r>
      <rPr>
        <sz val="3.5"/>
        <rFont val="Arial"/>
        <family val="2"/>
      </rPr>
      <t>CYCLONE FEED PUMP</t>
    </r>
  </si>
  <si>
    <r>
      <rPr>
        <sz val="3.5"/>
        <rFont val="Arial"/>
        <family val="2"/>
      </rPr>
      <t>Warman 12/10 AH (or equivalent)</t>
    </r>
  </si>
  <si>
    <r>
      <rPr>
        <sz val="3.5"/>
        <rFont val="Arial"/>
        <family val="2"/>
      </rPr>
      <t>VARIABLE FREQUENCY</t>
    </r>
  </si>
  <si>
    <r>
      <rPr>
        <sz val="3.5"/>
        <rFont val="Arial"/>
        <family val="2"/>
      </rPr>
      <t>10-PU-0002</t>
    </r>
  </si>
  <si>
    <r>
      <rPr>
        <sz val="3.5"/>
        <rFont val="Arial"/>
        <family val="2"/>
      </rPr>
      <t>10-PU-0003</t>
    </r>
  </si>
  <si>
    <r>
      <rPr>
        <sz val="3.5"/>
        <rFont val="Arial"/>
        <family val="2"/>
      </rPr>
      <t>10-PU-0004</t>
    </r>
  </si>
  <si>
    <r>
      <rPr>
        <sz val="3.5"/>
        <rFont val="Arial"/>
        <family val="2"/>
      </rPr>
      <t>CYCLONE FEED PUMP (STANDBY)</t>
    </r>
  </si>
  <si>
    <r>
      <rPr>
        <sz val="3.5"/>
        <rFont val="Arial"/>
        <family val="2"/>
      </rPr>
      <t>STANDBY</t>
    </r>
  </si>
  <si>
    <r>
      <rPr>
        <sz val="3.5"/>
        <rFont val="Arial"/>
        <family val="2"/>
      </rPr>
      <t>31-1557-10-PR-PID-0002</t>
    </r>
  </si>
  <si>
    <r>
      <rPr>
        <sz val="3.5"/>
        <rFont val="Arial"/>
        <family val="2"/>
      </rPr>
      <t>10-CY-0001</t>
    </r>
  </si>
  <si>
    <r>
      <rPr>
        <sz val="3.5"/>
        <rFont val="Arial"/>
        <family val="2"/>
      </rPr>
      <t>CYCLONE CLUSTER</t>
    </r>
  </si>
  <si>
    <t>5 cyclones per cluster, Weir Cavex 500CVX or similar</t>
  </si>
  <si>
    <r>
      <rPr>
        <sz val="3.5"/>
        <rFont val="Arial"/>
        <family val="2"/>
      </rPr>
      <t>10-CY-0002</t>
    </r>
  </si>
  <si>
    <r>
      <rPr>
        <sz val="3.5"/>
        <rFont val="Arial"/>
        <family val="2"/>
      </rPr>
      <t>5 cyclones per cluster, Weir Cavex 500CVX or similar</t>
    </r>
  </si>
  <si>
    <r>
      <rPr>
        <sz val="3.5"/>
        <rFont val="Arial"/>
        <family val="2"/>
      </rPr>
      <t>10-CY-0003</t>
    </r>
  </si>
  <si>
    <r>
      <rPr>
        <sz val="3.5"/>
        <rFont val="Arial"/>
        <family val="2"/>
      </rPr>
      <t>10-SC-0001</t>
    </r>
  </si>
  <si>
    <r>
      <rPr>
        <sz val="3.5"/>
        <rFont val="Arial"/>
        <family val="2"/>
      </rPr>
      <t>DEWATERING SCREEN</t>
    </r>
  </si>
  <si>
    <r>
      <rPr>
        <sz val="3.5"/>
        <rFont val="Arial"/>
        <family val="2"/>
      </rPr>
      <t>Weir Enduron DWA 24 Dewatering Screen Machine (or equivalent)</t>
    </r>
  </si>
  <si>
    <r>
      <rPr>
        <sz val="3.5"/>
        <rFont val="Arial"/>
        <family val="2"/>
      </rPr>
      <t>10-SC-0002</t>
    </r>
  </si>
  <si>
    <t>Weir Enduron DWA 24 Dewatering Screen Machine (or equivalent)</t>
  </si>
  <si>
    <r>
      <rPr>
        <sz val="3.5"/>
        <rFont val="Arial"/>
        <family val="2"/>
      </rPr>
      <t>10-SC-0003</t>
    </r>
  </si>
  <si>
    <r>
      <rPr>
        <sz val="3.5"/>
        <rFont val="Arial"/>
        <family val="2"/>
      </rPr>
      <t>10-PU-0005</t>
    </r>
  </si>
  <si>
    <r>
      <rPr>
        <sz val="3.5"/>
        <rFont val="Arial"/>
        <family val="2"/>
      </rPr>
      <t>FLOOR SUMP PUMP</t>
    </r>
  </si>
  <si>
    <r>
      <rPr>
        <sz val="3.5"/>
        <rFont val="Arial"/>
        <family val="2"/>
      </rPr>
      <t>Weir Galigher 5000 Series Vertical Sump Pump (or equivalent)</t>
    </r>
  </si>
  <si>
    <r>
      <rPr>
        <sz val="3.5"/>
        <rFont val="Arial"/>
        <family val="2"/>
      </rPr>
      <t>10-LN-0001</t>
    </r>
  </si>
  <si>
    <r>
      <rPr>
        <sz val="3.5"/>
        <rFont val="Arial"/>
        <family val="2"/>
      </rPr>
      <t>LAUNDER</t>
    </r>
  </si>
  <si>
    <r>
      <rPr>
        <sz val="3.5"/>
        <rFont val="Arial"/>
        <family val="2"/>
      </rPr>
      <t>10-OC-0001</t>
    </r>
  </si>
  <si>
    <r>
      <rPr>
        <sz val="3.5"/>
        <rFont val="Arial"/>
        <family val="2"/>
      </rPr>
      <t>OVERHEAD CRANE</t>
    </r>
  </si>
  <si>
    <r>
      <rPr>
        <sz val="3.5"/>
        <rFont val="Arial"/>
        <family val="2"/>
      </rPr>
      <t>15 ton capacity</t>
    </r>
  </si>
  <si>
    <r>
      <rPr>
        <sz val="3.5"/>
        <rFont val="Arial"/>
        <family val="2"/>
      </rPr>
      <t>31-1557-10-PR-PID-0003</t>
    </r>
  </si>
  <si>
    <r>
      <rPr>
        <sz val="3.5"/>
        <rFont val="Arial"/>
        <family val="2"/>
      </rPr>
      <t>20-TK-0002</t>
    </r>
  </si>
  <si>
    <r>
      <rPr>
        <sz val="3.5"/>
        <rFont val="Arial"/>
        <family val="2"/>
      </rPr>
      <t>CLEAN WATER TANK</t>
    </r>
  </si>
  <si>
    <r>
      <rPr>
        <sz val="3.5"/>
        <rFont val="Arial"/>
        <family val="2"/>
      </rPr>
      <t>Cylindrical tank, carbon steel, 12.5 ft diameter, 18 ft height, active volume 11,887 gal</t>
    </r>
  </si>
  <si>
    <r>
      <rPr>
        <sz val="3.5"/>
        <rFont val="Arial"/>
        <family val="2"/>
      </rPr>
      <t>60 MINUTES RETENTION TIME AT NOMINAL FLOW</t>
    </r>
  </si>
  <si>
    <r>
      <rPr>
        <sz val="3.5"/>
        <rFont val="Arial"/>
        <family val="2"/>
      </rPr>
      <t>31-1557-10-PR-PID-0004</t>
    </r>
  </si>
  <si>
    <r>
      <rPr>
        <sz val="3.5"/>
        <rFont val="Arial"/>
        <family val="2"/>
      </rPr>
      <t>20-TK-0003</t>
    </r>
  </si>
  <si>
    <r>
      <rPr>
        <sz val="3.5"/>
        <rFont val="Arial"/>
        <family val="2"/>
      </rPr>
      <t>FINE TAILINGS PUMP BOX</t>
    </r>
  </si>
  <si>
    <r>
      <rPr>
        <sz val="3.5"/>
        <rFont val="Arial"/>
        <family val="2"/>
      </rPr>
      <t>Cylindrical tank, carbon steel, 16 ft diameter, 24 ft height, active volume 30,434 gal</t>
    </r>
  </si>
  <si>
    <r>
      <rPr>
        <sz val="3.5"/>
        <rFont val="Arial"/>
        <family val="2"/>
      </rPr>
      <t>20-AG-0002</t>
    </r>
  </si>
  <si>
    <r>
      <rPr>
        <sz val="3.5"/>
        <rFont val="Arial"/>
        <family val="2"/>
      </rPr>
      <t>FINE TAILINGS PUMP BOX AGITATOR</t>
    </r>
  </si>
  <si>
    <r>
      <rPr>
        <sz val="3.5"/>
        <rFont val="Arial"/>
        <family val="2"/>
      </rPr>
      <t>Lightnin Mixer Model 76Q20</t>
    </r>
  </si>
  <si>
    <r>
      <rPr>
        <sz val="3.5"/>
        <rFont val="Arial"/>
        <family val="2"/>
      </rPr>
      <t>20-PU-0005</t>
    </r>
  </si>
  <si>
    <r>
      <rPr>
        <sz val="3.5"/>
        <rFont val="Arial"/>
        <family val="2"/>
      </rPr>
      <t>CLEAN WATER PUMP</t>
    </r>
  </si>
  <si>
    <r>
      <rPr>
        <sz val="3.5"/>
        <rFont val="Arial"/>
        <family val="2"/>
      </rPr>
      <t>Sulzer APT11-2(O) (or equivalent)</t>
    </r>
  </si>
  <si>
    <r>
      <rPr>
        <sz val="3.5"/>
        <rFont val="Arial"/>
        <family val="2"/>
      </rPr>
      <t>20-PU-0006</t>
    </r>
  </si>
  <si>
    <r>
      <rPr>
        <sz val="3.5"/>
        <rFont val="Arial"/>
        <family val="2"/>
      </rPr>
      <t>CLEAN WATER PUMP (STANDBY)</t>
    </r>
  </si>
  <si>
    <r>
      <rPr>
        <sz val="3.5"/>
        <rFont val="Arial"/>
        <family val="2"/>
      </rPr>
      <t>20-PU-0007</t>
    </r>
  </si>
  <si>
    <r>
      <rPr>
        <sz val="3.5"/>
        <rFont val="Arial"/>
        <family val="2"/>
      </rPr>
      <t>FINE TAILINGS GSW PD PUMP</t>
    </r>
  </si>
  <si>
    <r>
      <rPr>
        <sz val="3.5"/>
        <rFont val="Arial"/>
        <family val="2"/>
      </rPr>
      <t>Hydra Cell D35 (or equivalent)</t>
    </r>
  </si>
  <si>
    <r>
      <rPr>
        <sz val="3.5"/>
        <rFont val="Arial"/>
        <family val="2"/>
      </rPr>
      <t>20-PU-0008</t>
    </r>
  </si>
  <si>
    <r>
      <rPr>
        <sz val="3.5"/>
        <rFont val="Arial"/>
        <family val="2"/>
      </rPr>
      <t>20-PU-0009</t>
    </r>
  </si>
  <si>
    <r>
      <rPr>
        <sz val="3.5"/>
        <rFont val="Arial"/>
        <family val="2"/>
      </rPr>
      <t>20-PU-0010</t>
    </r>
  </si>
  <si>
    <r>
      <rPr>
        <sz val="3.5"/>
        <rFont val="Arial"/>
        <family val="2"/>
      </rPr>
      <t>20-PU-0011</t>
    </r>
  </si>
  <si>
    <r>
      <rPr>
        <sz val="3.5"/>
        <rFont val="Arial"/>
        <family val="2"/>
      </rPr>
      <t>FINE TAILINGS GSW PD PUMP (STANDBY)</t>
    </r>
  </si>
  <si>
    <r>
      <rPr>
        <sz val="3.5"/>
        <rFont val="Arial"/>
        <family val="2"/>
      </rPr>
      <t>20-PU-0012</t>
    </r>
  </si>
  <si>
    <r>
      <rPr>
        <sz val="3.5"/>
        <rFont val="Arial"/>
        <family val="2"/>
      </rPr>
      <t>20-PU-0020</t>
    </r>
  </si>
  <si>
    <r>
      <rPr>
        <sz val="3.5"/>
        <rFont val="Arial"/>
        <family val="2"/>
      </rPr>
      <t>FINE TAILINGS TRANSPORT PUMP</t>
    </r>
  </si>
  <si>
    <r>
      <rPr>
        <sz val="3.5"/>
        <rFont val="Arial"/>
        <family val="2"/>
      </rPr>
      <t>Warman 14/12 AH (or equivalent)</t>
    </r>
  </si>
  <si>
    <r>
      <rPr>
        <sz val="3.5"/>
        <rFont val="Arial"/>
        <family val="2"/>
      </rPr>
      <t>20-PU-0021</t>
    </r>
  </si>
  <si>
    <r>
      <rPr>
        <sz val="3.5"/>
        <rFont val="Arial"/>
        <family val="2"/>
      </rPr>
      <t>20-PU-0022</t>
    </r>
  </si>
  <si>
    <r>
      <rPr>
        <sz val="3.5"/>
        <rFont val="Arial"/>
        <family val="2"/>
      </rPr>
      <t>20-PU-0023</t>
    </r>
  </si>
  <si>
    <r>
      <rPr>
        <sz val="3.5"/>
        <rFont val="Arial"/>
        <family val="2"/>
      </rPr>
      <t>20-PU-0024</t>
    </r>
  </si>
  <si>
    <r>
      <rPr>
        <sz val="3.5"/>
        <rFont val="Arial"/>
        <family val="2"/>
      </rPr>
      <t>FINE TAILINGS TRANSPORT PUMP (STANDBY)</t>
    </r>
  </si>
  <si>
    <r>
      <rPr>
        <sz val="3.5"/>
        <rFont val="Arial"/>
        <family val="2"/>
      </rPr>
      <t>20-PU-0025</t>
    </r>
  </si>
  <si>
    <r>
      <rPr>
        <sz val="3.5"/>
        <rFont val="Arial"/>
        <family val="2"/>
      </rPr>
      <t>20-PU-0026</t>
    </r>
  </si>
  <si>
    <r>
      <rPr>
        <sz val="3.5"/>
        <rFont val="Arial"/>
        <family val="2"/>
      </rPr>
      <t>20-PU-0027</t>
    </r>
  </si>
  <si>
    <r>
      <rPr>
        <sz val="3.5"/>
        <rFont val="Arial"/>
        <family val="2"/>
      </rPr>
      <t>FLUSH WATER PUMP</t>
    </r>
  </si>
  <si>
    <r>
      <rPr>
        <sz val="3.5"/>
        <rFont val="Arial"/>
        <family val="2"/>
      </rPr>
      <t>20-PU-0028</t>
    </r>
  </si>
  <si>
    <r>
      <rPr>
        <sz val="3.5"/>
        <rFont val="Arial"/>
        <family val="2"/>
      </rPr>
      <t>31-1557-10-PR-PID-0005</t>
    </r>
  </si>
  <si>
    <r>
      <rPr>
        <sz val="3.5"/>
        <rFont val="Arial"/>
        <family val="2"/>
      </rPr>
      <t>30-CH-0001</t>
    </r>
  </si>
  <si>
    <r>
      <rPr>
        <sz val="3.5"/>
        <rFont val="Arial"/>
        <family val="2"/>
      </rPr>
      <t>COARSE TAILINGS CHUTE</t>
    </r>
  </si>
  <si>
    <r>
      <rPr>
        <sz val="3.5"/>
        <rFont val="Arial"/>
        <family val="2"/>
      </rPr>
      <t>Estimate: 6.5' x 0.5' x 3'</t>
    </r>
  </si>
  <si>
    <r>
      <rPr>
        <sz val="3.5"/>
        <rFont val="Arial"/>
        <family val="2"/>
      </rPr>
      <t>30-CH-0002</t>
    </r>
  </si>
  <si>
    <r>
      <rPr>
        <sz val="3.5"/>
        <rFont val="Arial"/>
        <family val="2"/>
      </rPr>
      <t>30-CH-0003</t>
    </r>
  </si>
  <si>
    <r>
      <rPr>
        <sz val="3.5"/>
        <rFont val="Arial"/>
        <family val="2"/>
      </rPr>
      <t>30-CO-0001</t>
    </r>
  </si>
  <si>
    <r>
      <rPr>
        <sz val="3.5"/>
        <rFont val="Arial"/>
        <family val="2"/>
      </rPr>
      <t>COLLECTION CONVEYOR</t>
    </r>
  </si>
  <si>
    <r>
      <rPr>
        <sz val="3.5"/>
        <rFont val="Arial"/>
        <family val="2"/>
      </rPr>
      <t>36" belt, 100 ft long, Horizontal</t>
    </r>
  </si>
  <si>
    <r>
      <rPr>
        <sz val="3.5"/>
        <rFont val="Arial"/>
        <family val="2"/>
      </rPr>
      <t>31-1557-10-PR-PID-0006</t>
    </r>
  </si>
  <si>
    <r>
      <rPr>
        <sz val="3.5"/>
        <rFont val="Arial"/>
        <family val="2"/>
      </rPr>
      <t>30-CO-0002</t>
    </r>
  </si>
  <si>
    <r>
      <rPr>
        <sz val="3.5"/>
        <rFont val="Arial"/>
        <family val="2"/>
      </rPr>
      <t>BIN CONVEYOR</t>
    </r>
  </si>
  <si>
    <r>
      <rPr>
        <sz val="3.5"/>
        <rFont val="Arial"/>
        <family val="2"/>
      </rPr>
      <t>36" belt, 147 ft long, 15 ft raise, 15° inclination angle</t>
    </r>
  </si>
  <si>
    <r>
      <rPr>
        <sz val="3.5"/>
        <rFont val="Arial"/>
        <family val="2"/>
      </rPr>
      <t>30-CU-0001</t>
    </r>
  </si>
  <si>
    <r>
      <rPr>
        <sz val="3.5"/>
        <rFont val="Arial"/>
        <family val="2"/>
      </rPr>
      <t>CURVED BLADE VALVE</t>
    </r>
  </si>
  <si>
    <r>
      <rPr>
        <sz val="3.5"/>
        <rFont val="Arial"/>
        <family val="2"/>
      </rPr>
      <t>36" X 36"</t>
    </r>
  </si>
  <si>
    <r>
      <rPr>
        <sz val="3.5"/>
        <rFont val="Arial"/>
        <family val="2"/>
      </rPr>
      <t>HYDRAULIC</t>
    </r>
  </si>
  <si>
    <r>
      <rPr>
        <sz val="3.5"/>
        <rFont val="Arial"/>
        <family val="2"/>
      </rPr>
      <t>30-CU-0002</t>
    </r>
  </si>
  <si>
    <r>
      <rPr>
        <sz val="3.5"/>
        <rFont val="Arial"/>
        <family val="2"/>
      </rPr>
      <t>30-BI-0001</t>
    </r>
  </si>
  <si>
    <r>
      <rPr>
        <sz val="3.5"/>
        <rFont val="Arial"/>
        <family val="2"/>
      </rPr>
      <t>LOADOUT BIN</t>
    </r>
  </si>
  <si>
    <r>
      <rPr>
        <sz val="3.5"/>
        <rFont val="Arial"/>
        <family val="2"/>
      </rPr>
      <t>Bin live capacity 6382 ft³</t>
    </r>
  </si>
  <si>
    <r>
      <rPr>
        <sz val="3.5"/>
        <rFont val="Arial"/>
        <family val="2"/>
      </rPr>
      <t>30 MINUTES RETENTION TIME AT NOMINAL FLOW</t>
    </r>
  </si>
  <si>
    <t>Office</t>
  </si>
  <si>
    <t>Small onsite office - 2000 sqft</t>
  </si>
  <si>
    <r>
      <rPr>
        <sz val="3.5"/>
        <rFont val="Arial"/>
        <family val="2"/>
      </rPr>
      <t>HAUL TRUCK</t>
    </r>
  </si>
  <si>
    <r>
      <rPr>
        <sz val="3.5"/>
        <rFont val="Arial"/>
        <family val="2"/>
      </rPr>
      <t>CAT793</t>
    </r>
  </si>
  <si>
    <t>90' Hydrosizer</t>
  </si>
  <si>
    <t>1 installed</t>
  </si>
  <si>
    <t>84" Screw Classifiers</t>
  </si>
  <si>
    <t>3 installed, 2 operating</t>
  </si>
  <si>
    <t>Dewatering System</t>
  </si>
  <si>
    <t>Hydro U'flow Pumps</t>
  </si>
  <si>
    <t>2 installed, 1 operating</t>
  </si>
  <si>
    <t>Hydro Feed Dilution Pumps</t>
  </si>
  <si>
    <t>Hydro O'flow Pumps</t>
  </si>
  <si>
    <t>Sump Pump</t>
  </si>
  <si>
    <t>Clean Water Pump</t>
  </si>
  <si>
    <t>45 m Fines Talings Thickener</t>
  </si>
  <si>
    <t>Tailings Deposition Pumps</t>
  </si>
  <si>
    <t>10 installed, 5 operating</t>
  </si>
  <si>
    <t>Thickener O'flow pumps</t>
  </si>
  <si>
    <t>GSW Pump</t>
  </si>
  <si>
    <t>6 installed, 5 operating</t>
  </si>
  <si>
    <t>Collection Conveyor</t>
  </si>
  <si>
    <t>Bin Conveyor</t>
  </si>
  <si>
    <t>Crane</t>
  </si>
  <si>
    <t>Flushing Pump</t>
  </si>
  <si>
    <t>Totals</t>
  </si>
  <si>
    <t>*EGRID EMISSION FACTORS: MROW MRO West (tons / MWhr)</t>
  </si>
  <si>
    <t>CH4:</t>
  </si>
  <si>
    <t>N2O:</t>
  </si>
  <si>
    <t>Land Use Classification</t>
  </si>
  <si>
    <r>
      <t xml:space="preserve">Emission Factor
Litter
</t>
    </r>
    <r>
      <rPr>
        <b/>
        <i/>
        <sz val="9"/>
        <color rgb="FF007A5F"/>
        <rFont val="Arial"/>
        <family val="2"/>
      </rPr>
      <t>Table 2.2 of IPCC 19R V4 Ch02 Generic Methods</t>
    </r>
  </si>
  <si>
    <r>
      <t xml:space="preserve">Emission Factor
Dead Wood
</t>
    </r>
    <r>
      <rPr>
        <b/>
        <i/>
        <sz val="9"/>
        <color rgb="FF007A5F"/>
        <rFont val="Arial"/>
        <family val="2"/>
      </rPr>
      <t>Table 2.2 of IPCC 19R V4 Ch02 Generic Methods</t>
    </r>
  </si>
  <si>
    <r>
      <t xml:space="preserve">Emission Factor
Flooded Area
</t>
    </r>
    <r>
      <rPr>
        <b/>
        <i/>
        <sz val="9"/>
        <color rgb="FF007A5F"/>
        <rFont val="Arial"/>
        <family val="2"/>
      </rPr>
      <t>Table 7.15 of IPCC 19R V4 Ch07 Wetlands</t>
    </r>
  </si>
  <si>
    <t>Stage 2 Exterior</t>
  </si>
  <si>
    <t>Dam and Dike Footprints</t>
  </si>
  <si>
    <t>Permanent Maintenance Road</t>
  </si>
  <si>
    <t>Pipeline and Separation Facility</t>
  </si>
  <si>
    <t>Temporary Construction Areas</t>
  </si>
  <si>
    <t>Total Size</t>
  </si>
  <si>
    <t>Percent of Project Total Area</t>
  </si>
  <si>
    <t>Total Flooded Area</t>
  </si>
  <si>
    <t>Total Developed Area</t>
  </si>
  <si>
    <t>CH4 Emissions From Flooded Area</t>
  </si>
  <si>
    <t>CO2 Emissions from Developed Areas</t>
  </si>
  <si>
    <t>CO2e Emissions from Project</t>
  </si>
  <si>
    <t>(tonnes C / ha)</t>
  </si>
  <si>
    <t>(kg CH4 / ha yr)</t>
  </si>
  <si>
    <t>(acres)</t>
  </si>
  <si>
    <t>(%)</t>
  </si>
  <si>
    <t>(hectares)</t>
  </si>
  <si>
    <t>(tons/yr)</t>
  </si>
  <si>
    <t>(tons)</t>
  </si>
  <si>
    <t>Barren Land</t>
  </si>
  <si>
    <t>Deciduous Forest</t>
  </si>
  <si>
    <t>Woody Wetlands</t>
  </si>
  <si>
    <t>Shrub/Scrub</t>
  </si>
  <si>
    <t>Mixed Forest</t>
  </si>
  <si>
    <t>Emergent Herbaceous Wetlands</t>
  </si>
  <si>
    <t>Open Water</t>
  </si>
  <si>
    <t>Herbaceous</t>
  </si>
  <si>
    <t>Evergreen Forest</t>
  </si>
  <si>
    <t>Developed, Low Intensity</t>
  </si>
  <si>
    <t>Developed, Open Space</t>
  </si>
  <si>
    <t>Developed, High Intensity</t>
  </si>
  <si>
    <t>Developed, Medium Intensity</t>
  </si>
  <si>
    <t>Assumptions</t>
  </si>
  <si>
    <t xml:space="preserve">The Stage 2 Exterior has been anthropogenically disturbed due to mining operations, including the deposition of fine tailings, which is ongoing and was approved as part of Phase 1. See equation 19.23 from GHG protocol (in Resources below). </t>
  </si>
  <si>
    <t>All other land use change results in removal of litter and deadwood carbon.</t>
  </si>
  <si>
    <t>Impacts to soil carbon in non-flooded areas not analyzed.</t>
  </si>
  <si>
    <t>Equal time discounting factor over 20 years used to annualize Litter and Dead Wood emissions.</t>
  </si>
  <si>
    <t>RESOURCES</t>
  </si>
  <si>
    <t>https://www.ipcc-nggip.iges.or.jp/public/2019rf/pdf/4_Volume4/19R_V4_Ch02_Generic%20Methods.pdf</t>
  </si>
  <si>
    <t>https://www.ipcc-nggip.iges.or.jp/public/2019rf/pdf/4_Volume4/19R_V4_Ch07_Wetlands.pdf</t>
  </si>
  <si>
    <t>https://ghgprotocol.org/sites/default/files/2022-12/Land-Sector-and-Removals-Guidance-Pilot-Testing-and-Review-Draft-Part-2.pdf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</si>
</sst>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0"/>
    <numFmt numFmtId="166" formatCode="_(* #,##0_);_(* \(#,##0\);_(* &quot;-&quot;??_);_(@_)"/>
    <numFmt numFmtId="167" formatCode="0.000"/>
    <numFmt numFmtId="168" formatCode="_(* #,##0.0_);_(* \(#,##0.0\);_(* &quot;-&quot;??_);_(@_)"/>
    <numFmt numFmtId="169" formatCode="_(* #,##0.0000_);_(* \(#,##0.0000\);_(* &quot;-&quot;??_);_(@_)"/>
    <numFmt numFmtId="170" formatCode="dd\-mm\-yy;@"/>
    <numFmt numFmtId="171" formatCode="#,##0.0"/>
  </numFmts>
  <fonts count="36">
    <font>
      <sz val="10"/>
      <color rgb="FF000000"/>
      <name val="Times New Roman"/>
      <family val="1"/>
    </font>
    <font>
      <sz val="10"/>
      <color rgb="FF000000"/>
      <name val="Times New Roman"/>
      <family val="1"/>
    </font>
    <font>
      <sz val="8"/>
      <name val="Arial"/>
      <family val="2"/>
    </font>
    <font>
      <b/>
      <sz val="8"/>
      <color indexed="10"/>
      <name val="Arial"/>
      <family val="2"/>
    </font>
    <font>
      <b/>
      <sz val="8"/>
      <name val="Arial"/>
      <family val="2"/>
    </font>
    <font>
      <b/>
      <sz val="8"/>
      <color indexed="12"/>
      <name val="Arial"/>
      <family val="2"/>
    </font>
    <font>
      <sz val="8"/>
      <color rgb="FF000000"/>
      <name val="Arial"/>
      <family val="2"/>
    </font>
    <font>
      <b/>
      <sz val="8"/>
      <color rgb="FF000000"/>
      <name val="Arial"/>
      <family val="2"/>
    </font>
    <font>
      <b/>
      <i/>
      <sz val="8"/>
      <name val="Arial"/>
      <family val="2"/>
    </font>
    <font>
      <b/>
      <sz val="8"/>
      <color rgb="FF37797B"/>
      <name val="Times New Roman"/>
      <family val="1"/>
    </font>
    <font>
      <b/>
      <i/>
      <sz val="8"/>
      <color rgb="FF37797B"/>
      <name val="Times New Roman"/>
      <family val="1"/>
    </font>
    <font>
      <b/>
      <sz val="8"/>
      <color rgb="FF000000"/>
      <name val="Times New Roman"/>
      <family val="1"/>
    </font>
    <font>
      <sz val="8"/>
      <color rgb="FF000000"/>
      <name val="Times New Roman"/>
      <family val="1"/>
    </font>
    <font>
      <b/>
      <i/>
      <sz val="8"/>
      <color rgb="FF000000"/>
      <name val="Times New Roman"/>
      <family val="1"/>
    </font>
    <font>
      <vertAlign val="superscript"/>
      <sz val="8"/>
      <name val="Arial"/>
      <family val="2"/>
    </font>
    <font>
      <sz val="10"/>
      <name val="Times New Roman"/>
      <family val="1"/>
      <charset val="204"/>
    </font>
    <font>
      <vertAlign val="superscript"/>
      <sz val="8.5"/>
      <name val="Times New Roman"/>
      <family val="1"/>
    </font>
    <font>
      <sz val="8.5"/>
      <name val="Times New Roman"/>
      <family val="1"/>
    </font>
    <font>
      <sz val="8.5"/>
      <name val="Cambria"/>
      <family val="1"/>
    </font>
    <font>
      <i/>
      <sz val="7.5"/>
      <name val="Cambria"/>
      <family val="1"/>
    </font>
    <font>
      <b/>
      <vertAlign val="superscript"/>
      <sz val="8"/>
      <color rgb="FF000000"/>
      <name val="Arial"/>
      <family val="2"/>
    </font>
    <font>
      <i/>
      <sz val="10"/>
      <color rgb="FF000000"/>
      <name val="Times New Roman"/>
      <family val="1"/>
    </font>
    <font>
      <sz val="3.5"/>
      <name val="Arial"/>
      <family val="2"/>
    </font>
    <font>
      <sz val="3.5"/>
      <color rgb="FF000000"/>
      <name val="Arial"/>
      <family val="2"/>
    </font>
    <font>
      <b/>
      <sz val="3.5"/>
      <name val="Arial"/>
      <family val="2"/>
    </font>
    <font>
      <sz val="2.5"/>
      <name val="Arial"/>
      <family val="2"/>
    </font>
    <font>
      <b/>
      <sz val="4"/>
      <name val="Arial"/>
      <family val="2"/>
    </font>
    <font>
      <b/>
      <sz val="5"/>
      <name val="Arial"/>
      <family val="2"/>
    </font>
    <font>
      <sz val="4"/>
      <color rgb="FF000000"/>
      <name val="Times New Roman"/>
      <family val="1"/>
    </font>
    <font>
      <u/>
      <sz val="10"/>
      <color theme="10"/>
      <name val="Times New Roman"/>
      <family val="1"/>
    </font>
    <font>
      <u/>
      <sz val="3.5"/>
      <color theme="10"/>
      <name val="Arial"/>
      <family val="2"/>
    </font>
    <font>
      <sz val="9"/>
      <color rgb="FF000000"/>
      <name val="Arial"/>
      <family val="2"/>
    </font>
    <font>
      <b/>
      <sz val="9"/>
      <color rgb="FF007A5F"/>
      <name val="Arial"/>
      <family val="2"/>
    </font>
    <font>
      <b/>
      <sz val="9"/>
      <color rgb="FF000000"/>
      <name val="Arial"/>
      <family val="2"/>
    </font>
    <font>
      <b/>
      <i/>
      <sz val="9"/>
      <color rgb="FF007A5F"/>
      <name val="Arial"/>
      <family val="2"/>
    </font>
    <font>
      <b/>
      <sz val="4"/>
      <color rgb="FF000000"/>
      <name val="Times New Roman"/>
      <family val="1"/>
    </font>
  </fonts>
  <fills count="7">
    <fill>
      <patternFill patternType="none"/>
    </fill>
    <fill>
      <patternFill patternType="gray125"/>
    </fill>
    <fill>
      <patternFill patternType="solid">
        <fgColor rgb="FFF2F2F2"/>
      </patternFill>
    </fill>
    <fill>
      <patternFill patternType="solid">
        <fgColor indexed="13"/>
        <bgColor indexed="64"/>
      </patternFill>
    </fill>
    <fill>
      <patternFill patternType="solid">
        <fgColor rgb="FF99CCFF"/>
      </patternFill>
    </fill>
    <fill>
      <patternFill patternType="solid">
        <fgColor theme="0" tint="-4.9989318521683403E-2"/>
        <bgColor indexed="64"/>
      </patternFill>
    </fill>
    <fill>
      <patternFill patternType="solid">
        <fgColor rgb="FFFFFF00"/>
        <bgColor indexed="64"/>
      </patternFill>
    </fill>
  </fills>
  <borders count="6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rgb="FF000000"/>
      </top>
      <bottom style="thin">
        <color rgb="FF000000"/>
      </bottom>
      <diagonal/>
    </border>
    <border>
      <left/>
      <right style="thin">
        <color rgb="FF000000"/>
      </right>
      <top style="thin">
        <color rgb="FFBFBFBF"/>
      </top>
      <bottom style="thin">
        <color rgb="FF000000"/>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style="thin">
        <color rgb="FF000000"/>
      </left>
      <right style="thin">
        <color rgb="FF000000"/>
      </right>
      <top style="thin">
        <color rgb="FFBFBFBF"/>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BFBFBF"/>
      </bottom>
      <diagonal/>
    </border>
    <border>
      <left/>
      <right/>
      <top style="thin">
        <color rgb="FFBFBFBF"/>
      </top>
      <bottom style="thin">
        <color rgb="FFBFBFBF"/>
      </bottom>
      <diagonal/>
    </border>
    <border>
      <left style="thin">
        <color rgb="FF000000"/>
      </left>
      <right style="thin">
        <color rgb="FF000000"/>
      </right>
      <top style="thin">
        <color rgb="FFBFBFBF"/>
      </top>
      <bottom style="thin">
        <color rgb="FFBFBFBF"/>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BFBFBF"/>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style="thin">
        <color rgb="FF000000"/>
      </left>
      <right style="thin">
        <color rgb="FF000000"/>
      </right>
      <top style="thin">
        <color rgb="FF000000"/>
      </top>
      <bottom style="thin">
        <color rgb="FFBFBFBF"/>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29" fillId="0" borderId="0" applyNumberFormat="0" applyFill="0" applyBorder="0" applyAlignment="0" applyProtection="0"/>
  </cellStyleXfs>
  <cellXfs count="259">
    <xf numFmtId="0" fontId="0" fillId="0" borderId="0" xfId="0"/>
    <xf numFmtId="0" fontId="0" fillId="0" borderId="0" xfId="0" applyAlignment="1">
      <alignment horizontal="left" vertical="top"/>
    </xf>
    <xf numFmtId="0" fontId="0" fillId="0" borderId="0" xfId="0" applyAlignment="1">
      <alignment horizontal="left" vertical="center"/>
    </xf>
    <xf numFmtId="0" fontId="2" fillId="0" borderId="0" xfId="0" applyFont="1"/>
    <xf numFmtId="0" fontId="3" fillId="0" borderId="6" xfId="0" applyFont="1" applyBorder="1" applyAlignment="1">
      <alignment horizontal="center"/>
    </xf>
    <xf numFmtId="0" fontId="4" fillId="0" borderId="7" xfId="0" applyFont="1" applyBorder="1"/>
    <xf numFmtId="0" fontId="4" fillId="0" borderId="8" xfId="0" applyFont="1" applyBorder="1" applyAlignment="1">
      <alignment horizontal="center"/>
    </xf>
    <xf numFmtId="0" fontId="2" fillId="0" borderId="9" xfId="0" applyFont="1" applyBorder="1"/>
    <xf numFmtId="0" fontId="2" fillId="0" borderId="0" xfId="0" applyFont="1" applyAlignment="1">
      <alignment horizontal="center"/>
    </xf>
    <xf numFmtId="0" fontId="4" fillId="0" borderId="0" xfId="0" applyFont="1" applyAlignment="1">
      <alignment horizontal="center"/>
    </xf>
    <xf numFmtId="0" fontId="4" fillId="3" borderId="10" xfId="0" applyFont="1" applyFill="1" applyBorder="1"/>
    <xf numFmtId="0" fontId="4" fillId="3" borderId="11" xfId="0" applyFont="1" applyFill="1" applyBorder="1" applyAlignment="1">
      <alignment horizontal="center"/>
    </xf>
    <xf numFmtId="2" fontId="4" fillId="3" borderId="11" xfId="0" applyNumberFormat="1" applyFont="1" applyFill="1" applyBorder="1" applyAlignment="1">
      <alignment horizontal="center"/>
    </xf>
    <xf numFmtId="2" fontId="4" fillId="3" borderId="12" xfId="0" applyNumberFormat="1" applyFont="1" applyFill="1" applyBorder="1" applyAlignment="1">
      <alignment horizontal="center"/>
    </xf>
    <xf numFmtId="2" fontId="4" fillId="3" borderId="13" xfId="0" applyNumberFormat="1" applyFont="1" applyFill="1" applyBorder="1" applyAlignment="1">
      <alignment horizontal="center"/>
    </xf>
    <xf numFmtId="0" fontId="2" fillId="0" borderId="15" xfId="0" applyFont="1" applyBorder="1" applyAlignment="1">
      <alignment horizontal="center"/>
    </xf>
    <xf numFmtId="0" fontId="2" fillId="0" borderId="19" xfId="0" applyFont="1" applyBorder="1" applyAlignment="1">
      <alignment horizontal="center"/>
    </xf>
    <xf numFmtId="165" fontId="2" fillId="0" borderId="19" xfId="0" applyNumberFormat="1" applyFont="1" applyBorder="1" applyAlignment="1">
      <alignment horizontal="center"/>
    </xf>
    <xf numFmtId="1" fontId="2" fillId="0" borderId="20" xfId="0" applyNumberFormat="1" applyFont="1" applyBorder="1" applyAlignment="1">
      <alignment horizontal="center"/>
    </xf>
    <xf numFmtId="165" fontId="2" fillId="0" borderId="21" xfId="0" applyNumberFormat="1" applyFont="1" applyBorder="1" applyAlignment="1">
      <alignment horizontal="center"/>
    </xf>
    <xf numFmtId="0" fontId="2" fillId="0" borderId="24" xfId="0" applyFont="1" applyBorder="1" applyAlignment="1">
      <alignment horizontal="center"/>
    </xf>
    <xf numFmtId="0" fontId="5" fillId="0" borderId="0" xfId="0" applyFont="1"/>
    <xf numFmtId="0" fontId="6" fillId="0" borderId="0" xfId="0" applyFont="1" applyAlignment="1">
      <alignment horizontal="left" vertical="top"/>
    </xf>
    <xf numFmtId="0" fontId="6" fillId="0" borderId="0" xfId="0" applyFont="1" applyAlignment="1">
      <alignment horizontal="left" wrapText="1"/>
    </xf>
    <xf numFmtId="0" fontId="6" fillId="0" borderId="1" xfId="0" applyFont="1" applyBorder="1" applyAlignment="1">
      <alignment horizontal="left"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 fontId="6" fillId="0" borderId="2" xfId="0" applyNumberFormat="1" applyFont="1" applyBorder="1" applyAlignment="1">
      <alignment horizontal="center" vertical="center" shrinkToFit="1"/>
    </xf>
    <xf numFmtId="2" fontId="6" fillId="0" borderId="2" xfId="0" applyNumberFormat="1" applyFont="1" applyBorder="1" applyAlignment="1">
      <alignment horizontal="center" vertical="center" shrinkToFit="1"/>
    </xf>
    <xf numFmtId="165" fontId="6" fillId="0" borderId="2" xfId="0" applyNumberFormat="1" applyFont="1" applyBorder="1" applyAlignment="1">
      <alignment horizontal="center" vertical="center" shrinkToFit="1"/>
    </xf>
    <xf numFmtId="0" fontId="4" fillId="0" borderId="4" xfId="0" applyFont="1" applyBorder="1" applyAlignment="1">
      <alignment horizontal="left" vertical="center" wrapText="1"/>
    </xf>
    <xf numFmtId="2" fontId="7" fillId="0" borderId="3" xfId="0" applyNumberFormat="1" applyFont="1" applyBorder="1" applyAlignment="1">
      <alignment horizontal="center" vertical="center" shrinkToFit="1"/>
    </xf>
    <xf numFmtId="166" fontId="7" fillId="0" borderId="3" xfId="1" applyNumberFormat="1" applyFont="1" applyBorder="1" applyAlignment="1">
      <alignment horizontal="center" vertical="center" shrinkToFit="1"/>
    </xf>
    <xf numFmtId="0" fontId="2" fillId="0" borderId="0" xfId="0" applyFont="1" applyAlignment="1">
      <alignment horizontal="center" wrapText="1"/>
    </xf>
    <xf numFmtId="0" fontId="8" fillId="0" borderId="0" xfId="0" applyFont="1" applyAlignment="1">
      <alignment horizontal="left" vertical="center"/>
    </xf>
    <xf numFmtId="0" fontId="4" fillId="0" borderId="0" xfId="0" applyFont="1" applyAlignment="1">
      <alignment horizontal="left" vertical="center"/>
    </xf>
    <xf numFmtId="0" fontId="2" fillId="0" borderId="14" xfId="0" applyFont="1" applyBorder="1" applyAlignment="1">
      <alignment horizontal="center" vertical="center"/>
    </xf>
    <xf numFmtId="0" fontId="11" fillId="0" borderId="4" xfId="0" applyFont="1" applyBorder="1" applyAlignment="1">
      <alignment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9" fillId="0" borderId="4" xfId="0" applyFont="1" applyBorder="1" applyAlignment="1">
      <alignment horizontal="center" vertical="center" wrapText="1"/>
    </xf>
    <xf numFmtId="0" fontId="2" fillId="0" borderId="4" xfId="0" applyFont="1" applyBorder="1" applyAlignment="1">
      <alignment horizontal="left" vertical="top" wrapText="1"/>
    </xf>
    <xf numFmtId="0" fontId="2" fillId="0" borderId="4" xfId="0" applyFont="1" applyBorder="1" applyAlignment="1">
      <alignment horizontal="left" vertical="top" wrapText="1" indent="1"/>
    </xf>
    <xf numFmtId="0" fontId="6" fillId="0" borderId="4" xfId="0" applyFont="1" applyBorder="1" applyAlignment="1">
      <alignment horizontal="left" vertical="top" wrapText="1" indent="1"/>
    </xf>
    <xf numFmtId="0" fontId="2" fillId="0" borderId="4" xfId="0" applyFont="1" applyBorder="1" applyAlignment="1">
      <alignment horizontal="left" vertical="top" wrapText="1" indent="3"/>
    </xf>
    <xf numFmtId="0" fontId="6" fillId="0" borderId="4" xfId="0" applyFont="1" applyBorder="1" applyAlignment="1">
      <alignment horizontal="center" vertical="center" wrapText="1"/>
    </xf>
    <xf numFmtId="0" fontId="0" fillId="0" borderId="4" xfId="0"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left" vertical="top" wrapText="1"/>
    </xf>
    <xf numFmtId="0" fontId="7"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11" fontId="6" fillId="0" borderId="4" xfId="0" applyNumberFormat="1" applyFont="1" applyBorder="1" applyAlignment="1">
      <alignment horizontal="center" vertical="center"/>
    </xf>
    <xf numFmtId="0" fontId="6" fillId="0" borderId="4" xfId="0" applyFont="1" applyBorder="1" applyAlignment="1">
      <alignment wrapText="1"/>
    </xf>
    <xf numFmtId="0" fontId="4" fillId="0" borderId="1" xfId="0" applyFont="1" applyBorder="1"/>
    <xf numFmtId="2" fontId="6" fillId="0" borderId="3" xfId="0" applyNumberFormat="1" applyFont="1" applyBorder="1" applyAlignment="1">
      <alignment horizontal="center" vertical="center" shrinkToFit="1"/>
    </xf>
    <xf numFmtId="0" fontId="2" fillId="0" borderId="4" xfId="0" applyFont="1" applyBorder="1" applyAlignment="1">
      <alignment horizontal="center"/>
    </xf>
    <xf numFmtId="165" fontId="2" fillId="0" borderId="4" xfId="0" applyNumberFormat="1" applyFont="1" applyBorder="1" applyAlignment="1">
      <alignment horizontal="center"/>
    </xf>
    <xf numFmtId="1" fontId="2" fillId="0" borderId="27" xfId="0" applyNumberFormat="1" applyFont="1" applyBorder="1" applyAlignment="1">
      <alignment horizontal="center"/>
    </xf>
    <xf numFmtId="165" fontId="2" fillId="0" borderId="26" xfId="0" applyNumberFormat="1" applyFont="1" applyBorder="1" applyAlignment="1">
      <alignment horizontal="center"/>
    </xf>
    <xf numFmtId="0" fontId="2" fillId="0" borderId="23" xfId="0" applyFont="1" applyBorder="1" applyAlignment="1">
      <alignment horizontal="center"/>
    </xf>
    <xf numFmtId="0" fontId="2" fillId="0" borderId="4" xfId="0" applyFont="1" applyBorder="1" applyAlignment="1">
      <alignment horizontal="center" vertical="center"/>
    </xf>
    <xf numFmtId="1" fontId="2" fillId="0" borderId="4" xfId="0" applyNumberFormat="1"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4"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1" fontId="6" fillId="0" borderId="4" xfId="0" applyNumberFormat="1" applyFont="1" applyBorder="1" applyAlignment="1">
      <alignment horizontal="center" vertical="center" shrinkToFit="1"/>
    </xf>
    <xf numFmtId="2" fontId="6" fillId="0" borderId="4" xfId="0" applyNumberFormat="1" applyFont="1" applyBorder="1" applyAlignment="1">
      <alignment horizontal="center" vertical="center" shrinkToFit="1"/>
    </xf>
    <xf numFmtId="165" fontId="6" fillId="0" borderId="4" xfId="0" applyNumberFormat="1" applyFont="1" applyBorder="1" applyAlignment="1">
      <alignment horizontal="center" vertical="center" shrinkToFit="1"/>
    </xf>
    <xf numFmtId="0" fontId="2" fillId="0" borderId="14" xfId="0" applyFont="1" applyBorder="1"/>
    <xf numFmtId="0" fontId="2" fillId="0" borderId="30" xfId="0" applyFont="1" applyBorder="1" applyAlignment="1">
      <alignment horizontal="center"/>
    </xf>
    <xf numFmtId="0" fontId="2" fillId="0" borderId="25" xfId="0" applyFont="1" applyBorder="1" applyAlignment="1">
      <alignment horizontal="center"/>
    </xf>
    <xf numFmtId="167" fontId="6" fillId="0" borderId="2" xfId="0" applyNumberFormat="1" applyFont="1" applyBorder="1" applyAlignment="1">
      <alignment horizontal="center" vertical="center" shrinkToFit="1"/>
    </xf>
    <xf numFmtId="0" fontId="4" fillId="0" borderId="0" xfId="0" applyFont="1" applyAlignment="1">
      <alignment vertical="center"/>
    </xf>
    <xf numFmtId="0" fontId="21" fillId="0" borderId="0" xfId="0" applyFont="1"/>
    <xf numFmtId="0" fontId="6" fillId="0" borderId="4" xfId="0" applyFont="1" applyBorder="1" applyAlignment="1">
      <alignment vertical="center" wrapText="1"/>
    </xf>
    <xf numFmtId="43" fontId="11" fillId="0" borderId="4" xfId="1" applyFont="1" applyBorder="1" applyAlignment="1">
      <alignment horizontal="center" vertical="center" wrapText="1"/>
    </xf>
    <xf numFmtId="0" fontId="9" fillId="0" borderId="19" xfId="0" applyFont="1" applyBorder="1" applyAlignment="1">
      <alignment horizontal="center" vertical="center" wrapText="1"/>
    </xf>
    <xf numFmtId="0" fontId="9" fillId="0" borderId="32"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vertical="center" wrapText="1"/>
    </xf>
    <xf numFmtId="0" fontId="9" fillId="0" borderId="34" xfId="0" applyFont="1" applyBorder="1" applyAlignment="1">
      <alignment vertical="center" wrapText="1"/>
    </xf>
    <xf numFmtId="165" fontId="12" fillId="0" borderId="4" xfId="0" applyNumberFormat="1" applyFont="1" applyBorder="1" applyAlignment="1">
      <alignment horizontal="center" vertical="center" wrapText="1"/>
    </xf>
    <xf numFmtId="169" fontId="11" fillId="0" borderId="4" xfId="1" applyNumberFormat="1" applyFont="1" applyBorder="1" applyAlignment="1">
      <alignment horizontal="center" vertical="center" wrapText="1"/>
    </xf>
    <xf numFmtId="166" fontId="7" fillId="0" borderId="3" xfId="1" applyNumberFormat="1" applyFont="1" applyBorder="1" applyAlignment="1">
      <alignment vertical="center" shrinkToFit="1"/>
    </xf>
    <xf numFmtId="0" fontId="0" fillId="0" borderId="3" xfId="0" applyBorder="1" applyAlignment="1">
      <alignment vertical="center" wrapText="1"/>
    </xf>
    <xf numFmtId="0" fontId="0" fillId="0" borderId="35" xfId="0" applyBorder="1" applyAlignment="1">
      <alignment vertical="center" wrapText="1"/>
    </xf>
    <xf numFmtId="0" fontId="0" fillId="0" borderId="28" xfId="0" applyBorder="1" applyAlignment="1">
      <alignment vertical="center" wrapText="1"/>
    </xf>
    <xf numFmtId="0" fontId="0" fillId="0" borderId="2" xfId="0" applyBorder="1" applyAlignment="1">
      <alignment horizontal="left" vertical="center" wrapText="1"/>
    </xf>
    <xf numFmtId="0" fontId="22" fillId="0" borderId="3" xfId="0" applyFont="1" applyBorder="1" applyAlignment="1">
      <alignment vertical="top" wrapText="1"/>
    </xf>
    <xf numFmtId="0" fontId="22" fillId="0" borderId="35" xfId="0" applyFont="1" applyBorder="1" applyAlignment="1">
      <alignment vertical="top" wrapText="1"/>
    </xf>
    <xf numFmtId="0" fontId="22" fillId="0" borderId="28" xfId="0" applyFont="1" applyBorder="1" applyAlignment="1">
      <alignment vertical="top" wrapText="1"/>
    </xf>
    <xf numFmtId="0" fontId="22" fillId="0" borderId="2" xfId="0" applyFont="1" applyBorder="1" applyAlignment="1">
      <alignment horizontal="left" vertical="top" wrapText="1"/>
    </xf>
    <xf numFmtId="0" fontId="0" fillId="0" borderId="3" xfId="0" applyBorder="1" applyAlignment="1">
      <alignment wrapText="1"/>
    </xf>
    <xf numFmtId="0" fontId="0" fillId="0" borderId="35" xfId="0" applyBorder="1" applyAlignment="1">
      <alignment wrapText="1"/>
    </xf>
    <xf numFmtId="0" fontId="0" fillId="0" borderId="28" xfId="0" applyBorder="1" applyAlignment="1">
      <alignment wrapText="1"/>
    </xf>
    <xf numFmtId="0" fontId="0" fillId="0" borderId="2" xfId="0" applyBorder="1" applyAlignment="1">
      <alignment horizontal="left" wrapText="1"/>
    </xf>
    <xf numFmtId="0" fontId="22" fillId="0" borderId="2" xfId="0" applyFont="1" applyBorder="1" applyAlignment="1">
      <alignment horizontal="center" vertical="top" wrapText="1"/>
    </xf>
    <xf numFmtId="1" fontId="23" fillId="0" borderId="2" xfId="0" applyNumberFormat="1" applyFont="1" applyBorder="1" applyAlignment="1">
      <alignment horizontal="center" vertical="top" shrinkToFit="1"/>
    </xf>
    <xf numFmtId="3" fontId="23" fillId="0" borderId="2" xfId="0" applyNumberFormat="1" applyFont="1" applyBorder="1" applyAlignment="1">
      <alignment horizontal="center" vertical="top" shrinkToFit="1"/>
    </xf>
    <xf numFmtId="0" fontId="24" fillId="4" borderId="2" xfId="0" applyFont="1" applyFill="1" applyBorder="1" applyAlignment="1">
      <alignment horizontal="center" vertical="top" wrapText="1"/>
    </xf>
    <xf numFmtId="0" fontId="0" fillId="0" borderId="39" xfId="0" applyBorder="1" applyAlignment="1">
      <alignment horizontal="left" wrapText="1"/>
    </xf>
    <xf numFmtId="0" fontId="0" fillId="0" borderId="45" xfId="0" applyBorder="1" applyAlignment="1">
      <alignment horizontal="left" wrapText="1"/>
    </xf>
    <xf numFmtId="170" fontId="23" fillId="0" borderId="51" xfId="0" applyNumberFormat="1" applyFont="1" applyBorder="1" applyAlignment="1">
      <alignment horizontal="center" vertical="top" shrinkToFit="1"/>
    </xf>
    <xf numFmtId="0" fontId="22" fillId="0" borderId="51" xfId="0" applyFont="1" applyBorder="1" applyAlignment="1">
      <alignment horizontal="center" vertical="top" wrapText="1"/>
    </xf>
    <xf numFmtId="170" fontId="23" fillId="0" borderId="2" xfId="0" applyNumberFormat="1" applyFont="1" applyBorder="1" applyAlignment="1">
      <alignment horizontal="center" vertical="top" shrinkToFit="1"/>
    </xf>
    <xf numFmtId="0" fontId="22" fillId="4" borderId="2" xfId="0" applyFont="1" applyFill="1"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24" fillId="4" borderId="2" xfId="0" applyFont="1" applyFill="1" applyBorder="1" applyAlignment="1">
      <alignment horizontal="center" vertical="center" wrapText="1"/>
    </xf>
    <xf numFmtId="171" fontId="22" fillId="0" borderId="3" xfId="0" applyNumberFormat="1" applyFont="1" applyBorder="1" applyAlignment="1">
      <alignment vertical="top" wrapText="1"/>
    </xf>
    <xf numFmtId="11" fontId="22" fillId="0" borderId="35" xfId="0" applyNumberFormat="1" applyFont="1" applyBorder="1" applyAlignment="1">
      <alignment vertical="top" wrapText="1"/>
    </xf>
    <xf numFmtId="0" fontId="28" fillId="0" borderId="0" xfId="0" applyFont="1" applyAlignment="1">
      <alignment horizontal="left" vertical="top"/>
    </xf>
    <xf numFmtId="167" fontId="28" fillId="0" borderId="0" xfId="0" applyNumberFormat="1" applyFont="1" applyAlignment="1">
      <alignment horizontal="left" vertical="top"/>
    </xf>
    <xf numFmtId="11" fontId="28" fillId="0" borderId="0" xfId="0" applyNumberFormat="1" applyFont="1" applyAlignment="1">
      <alignment horizontal="left" vertical="top"/>
    </xf>
    <xf numFmtId="0" fontId="4" fillId="4" borderId="2" xfId="0" applyFont="1" applyFill="1" applyBorder="1" applyAlignment="1">
      <alignment horizontal="center" vertical="top" wrapText="1"/>
    </xf>
    <xf numFmtId="168" fontId="4" fillId="4" borderId="2" xfId="1" applyNumberFormat="1" applyFont="1" applyFill="1" applyBorder="1" applyAlignment="1">
      <alignment horizontal="center" vertical="top" wrapText="1"/>
    </xf>
    <xf numFmtId="0" fontId="2" fillId="0" borderId="54"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30" fillId="0" borderId="28" xfId="2" applyFont="1" applyBorder="1" applyAlignment="1">
      <alignment vertical="top" wrapText="1"/>
    </xf>
    <xf numFmtId="0" fontId="6" fillId="0" borderId="0" xfId="0" applyFont="1" applyAlignment="1">
      <alignment horizontal="left" vertical="top" wrapText="1"/>
    </xf>
    <xf numFmtId="0" fontId="4" fillId="0" borderId="0" xfId="0" applyFont="1" applyAlignment="1">
      <alignment horizontal="left" vertical="center" wrapText="1" indent="1"/>
    </xf>
    <xf numFmtId="0" fontId="4" fillId="0" borderId="0" xfId="0" applyFont="1" applyAlignment="1">
      <alignment horizontal="left" vertical="top" wrapText="1"/>
    </xf>
    <xf numFmtId="164" fontId="12"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11" fillId="0" borderId="4" xfId="1" applyNumberFormat="1" applyFont="1" applyBorder="1" applyAlignment="1">
      <alignment horizontal="center" vertical="center" wrapText="1"/>
    </xf>
    <xf numFmtId="0" fontId="33" fillId="0" borderId="0" xfId="0" applyFont="1" applyAlignment="1">
      <alignment vertical="center" wrapText="1"/>
    </xf>
    <xf numFmtId="0" fontId="31" fillId="0" borderId="0" xfId="0" applyFont="1" applyAlignment="1">
      <alignment vertical="center"/>
    </xf>
    <xf numFmtId="0" fontId="31" fillId="0" borderId="4" xfId="0" applyFont="1" applyBorder="1" applyAlignment="1">
      <alignment horizontal="center" vertical="center" wrapText="1"/>
    </xf>
    <xf numFmtId="164" fontId="31" fillId="0" borderId="4" xfId="0" applyNumberFormat="1" applyFont="1" applyBorder="1" applyAlignment="1">
      <alignment horizontal="center" vertical="center" wrapText="1"/>
    </xf>
    <xf numFmtId="3" fontId="31" fillId="0" borderId="4" xfId="0" applyNumberFormat="1" applyFont="1" applyBorder="1" applyAlignment="1">
      <alignment horizontal="center" vertical="center" wrapText="1"/>
    </xf>
    <xf numFmtId="0" fontId="32" fillId="0" borderId="54" xfId="0" applyFont="1" applyBorder="1" applyAlignment="1">
      <alignment horizontal="center" vertical="center" wrapText="1"/>
    </xf>
    <xf numFmtId="0" fontId="32" fillId="0" borderId="31" xfId="0" applyFont="1" applyBorder="1" applyAlignment="1">
      <alignment horizontal="center" vertical="center" wrapText="1"/>
    </xf>
    <xf numFmtId="0" fontId="31" fillId="0" borderId="56" xfId="0" applyFont="1" applyBorder="1" applyAlignment="1">
      <alignment vertical="center" wrapText="1"/>
    </xf>
    <xf numFmtId="164" fontId="31" fillId="0" borderId="26" xfId="0" applyNumberFormat="1" applyFont="1" applyBorder="1" applyAlignment="1">
      <alignment horizontal="center" vertical="center" wrapText="1"/>
    </xf>
    <xf numFmtId="0" fontId="31" fillId="0" borderId="22" xfId="0" applyFont="1" applyBorder="1" applyAlignment="1">
      <alignment vertical="center" wrapText="1"/>
    </xf>
    <xf numFmtId="164" fontId="31" fillId="0" borderId="19" xfId="0" applyNumberFormat="1" applyFont="1" applyBorder="1" applyAlignment="1">
      <alignment horizontal="center" vertical="center" wrapText="1"/>
    </xf>
    <xf numFmtId="3" fontId="31" fillId="0" borderId="19" xfId="0" applyNumberFormat="1" applyFont="1" applyBorder="1" applyAlignment="1">
      <alignment horizontal="center" vertical="center" wrapText="1"/>
    </xf>
    <xf numFmtId="164" fontId="31" fillId="0" borderId="21"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1" fillId="0" borderId="57" xfId="0" applyFont="1" applyBorder="1" applyAlignment="1">
      <alignment vertical="center" wrapText="1"/>
    </xf>
    <xf numFmtId="0" fontId="31" fillId="0" borderId="58" xfId="0" applyFont="1" applyBorder="1" applyAlignment="1">
      <alignment horizontal="center" vertical="center" wrapText="1"/>
    </xf>
    <xf numFmtId="164" fontId="31" fillId="0" borderId="58" xfId="0" applyNumberFormat="1" applyFont="1" applyBorder="1" applyAlignment="1">
      <alignment horizontal="center" vertical="center" wrapText="1"/>
    </xf>
    <xf numFmtId="3" fontId="31" fillId="0" borderId="58" xfId="0" applyNumberFormat="1" applyFont="1" applyBorder="1" applyAlignment="1">
      <alignment horizontal="center" vertical="center" wrapText="1"/>
    </xf>
    <xf numFmtId="164" fontId="31" fillId="0" borderId="59" xfId="0" applyNumberFormat="1" applyFont="1" applyBorder="1" applyAlignment="1">
      <alignment horizontal="center" vertical="center" wrapText="1"/>
    </xf>
    <xf numFmtId="0" fontId="33" fillId="0" borderId="10" xfId="0" applyFont="1" applyBorder="1" applyAlignment="1">
      <alignment vertical="center" wrapText="1"/>
    </xf>
    <xf numFmtId="4" fontId="31" fillId="0" borderId="11" xfId="0" applyNumberFormat="1" applyFont="1" applyBorder="1" applyAlignment="1">
      <alignment horizontal="center" vertical="center" wrapText="1"/>
    </xf>
    <xf numFmtId="164" fontId="31" fillId="0" borderId="11" xfId="0" applyNumberFormat="1" applyFont="1" applyBorder="1" applyAlignment="1">
      <alignment horizontal="center" vertical="center" wrapText="1"/>
    </xf>
    <xf numFmtId="171" fontId="31" fillId="0" borderId="11" xfId="0" applyNumberFormat="1"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164" fontId="31" fillId="0" borderId="62" xfId="0" applyNumberFormat="1" applyFont="1" applyBorder="1" applyAlignment="1">
      <alignment horizontal="center" vertical="center" wrapText="1"/>
    </xf>
    <xf numFmtId="164" fontId="31" fillId="0" borderId="63" xfId="0" applyNumberFormat="1" applyFont="1" applyBorder="1" applyAlignment="1">
      <alignment horizontal="center" vertical="center" wrapText="1"/>
    </xf>
    <xf numFmtId="164" fontId="31" fillId="0" borderId="64" xfId="0" applyNumberFormat="1" applyFont="1" applyBorder="1" applyAlignment="1">
      <alignment horizontal="center" vertical="center" wrapText="1"/>
    </xf>
    <xf numFmtId="164" fontId="33" fillId="0" borderId="65" xfId="0" applyNumberFormat="1" applyFont="1" applyBorder="1" applyAlignment="1">
      <alignment horizontal="center" vertical="center" wrapText="1"/>
    </xf>
    <xf numFmtId="4" fontId="31" fillId="0" borderId="13" xfId="0" applyNumberFormat="1" applyFont="1" applyBorder="1" applyAlignment="1">
      <alignment horizontal="center" vertical="center" wrapText="1"/>
    </xf>
    <xf numFmtId="3" fontId="33" fillId="0" borderId="11"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0" fontId="29" fillId="0" borderId="28" xfId="2" applyBorder="1" applyAlignment="1">
      <alignment horizontal="left" vertical="center" wrapText="1"/>
    </xf>
    <xf numFmtId="164" fontId="12" fillId="0" borderId="4" xfId="1" applyNumberFormat="1" applyFont="1" applyFill="1" applyBorder="1" applyAlignment="1">
      <alignment horizontal="center" vertical="center" wrapText="1"/>
    </xf>
    <xf numFmtId="164" fontId="11" fillId="0" borderId="4" xfId="1" applyNumberFormat="1" applyFont="1" applyFill="1" applyBorder="1" applyAlignment="1">
      <alignment horizontal="center" vertical="center" wrapText="1"/>
    </xf>
    <xf numFmtId="0" fontId="35" fillId="0" borderId="0" xfId="0" applyFont="1" applyAlignment="1">
      <alignment horizontal="right" vertical="top"/>
    </xf>
    <xf numFmtId="164" fontId="6" fillId="0" borderId="2" xfId="0" applyNumberFormat="1" applyFont="1" applyBorder="1" applyAlignment="1">
      <alignment horizontal="center" vertical="center" shrinkToFit="1"/>
    </xf>
    <xf numFmtId="0" fontId="32" fillId="5" borderId="54" xfId="0" applyFont="1" applyFill="1" applyBorder="1" applyAlignment="1">
      <alignment horizontal="center" vertical="center" wrapText="1"/>
    </xf>
    <xf numFmtId="0" fontId="32" fillId="5" borderId="24" xfId="0" applyFont="1" applyFill="1" applyBorder="1" applyAlignment="1">
      <alignment horizontal="center" vertical="center" wrapText="1"/>
    </xf>
    <xf numFmtId="0" fontId="31" fillId="5" borderId="19" xfId="0" applyFont="1" applyFill="1" applyBorder="1" applyAlignment="1">
      <alignment horizontal="center" vertical="center" wrapText="1"/>
    </xf>
    <xf numFmtId="0" fontId="31" fillId="5" borderId="4" xfId="0" applyFont="1" applyFill="1" applyBorder="1" applyAlignment="1">
      <alignment horizontal="center" vertical="center" wrapText="1"/>
    </xf>
    <xf numFmtId="164" fontId="31" fillId="5" borderId="4" xfId="0" applyNumberFormat="1" applyFont="1" applyFill="1" applyBorder="1" applyAlignment="1">
      <alignment horizontal="center" vertical="center" wrapText="1"/>
    </xf>
    <xf numFmtId="0" fontId="31" fillId="5" borderId="58" xfId="0" applyFont="1" applyFill="1" applyBorder="1" applyAlignment="1">
      <alignment horizontal="center" vertical="center" wrapText="1"/>
    </xf>
    <xf numFmtId="0" fontId="33" fillId="5" borderId="11" xfId="0" applyFont="1" applyFill="1" applyBorder="1" applyAlignment="1">
      <alignment vertical="center" wrapText="1"/>
    </xf>
    <xf numFmtId="0" fontId="22" fillId="6" borderId="28" xfId="0" applyFont="1" applyFill="1" applyBorder="1" applyAlignment="1">
      <alignment vertical="top" wrapText="1"/>
    </xf>
    <xf numFmtId="0" fontId="22" fillId="6" borderId="2" xfId="0" applyFont="1" applyFill="1" applyBorder="1" applyAlignment="1">
      <alignment horizontal="left" vertical="top" wrapText="1"/>
    </xf>
    <xf numFmtId="0" fontId="0" fillId="6" borderId="2" xfId="0" applyFill="1" applyBorder="1" applyAlignment="1">
      <alignment horizontal="left" vertical="center" wrapText="1"/>
    </xf>
    <xf numFmtId="0" fontId="0" fillId="6" borderId="28" xfId="0" applyFill="1" applyBorder="1" applyAlignment="1">
      <alignment wrapText="1"/>
    </xf>
    <xf numFmtId="0" fontId="0" fillId="6" borderId="28" xfId="0" applyFill="1" applyBorder="1" applyAlignment="1">
      <alignment vertical="center" wrapText="1"/>
    </xf>
    <xf numFmtId="0" fontId="22" fillId="0" borderId="68" xfId="0" applyFont="1" applyBorder="1" applyAlignment="1">
      <alignment vertical="top" wrapText="1"/>
    </xf>
    <xf numFmtId="0" fontId="0" fillId="0" borderId="68" xfId="0" applyBorder="1" applyAlignment="1">
      <alignment wrapText="1"/>
    </xf>
    <xf numFmtId="167" fontId="6" fillId="0" borderId="4" xfId="0" applyNumberFormat="1" applyFont="1" applyBorder="1" applyAlignment="1">
      <alignment horizontal="center" vertical="center" shrinkToFit="1"/>
    </xf>
    <xf numFmtId="164" fontId="6" fillId="0" borderId="4" xfId="0" applyNumberFormat="1" applyFont="1" applyBorder="1" applyAlignment="1">
      <alignment horizontal="center" vertical="center" shrinkToFit="1"/>
    </xf>
    <xf numFmtId="0" fontId="29" fillId="0" borderId="0" xfId="2"/>
    <xf numFmtId="0" fontId="31" fillId="0" borderId="19" xfId="0" applyFont="1" applyBorder="1" applyAlignment="1">
      <alignment horizontal="center" vertical="center" wrapText="1"/>
    </xf>
    <xf numFmtId="4" fontId="31" fillId="5" borderId="11" xfId="0" applyNumberFormat="1" applyFont="1" applyFill="1" applyBorder="1" applyAlignment="1">
      <alignment horizontal="center" vertical="center" wrapText="1"/>
    </xf>
    <xf numFmtId="2" fontId="31" fillId="0" borderId="19" xfId="0" applyNumberFormat="1" applyFont="1" applyBorder="1" applyAlignment="1">
      <alignment horizontal="center" vertical="center" wrapText="1"/>
    </xf>
    <xf numFmtId="2" fontId="31" fillId="0" borderId="4" xfId="0" applyNumberFormat="1" applyFont="1" applyBorder="1" applyAlignment="1">
      <alignment horizontal="center" vertical="center" wrapText="1"/>
    </xf>
    <xf numFmtId="2" fontId="31" fillId="5" borderId="11" xfId="0" applyNumberFormat="1" applyFont="1" applyFill="1" applyBorder="1" applyAlignment="1">
      <alignment horizontal="center" vertical="center" wrapText="1"/>
    </xf>
    <xf numFmtId="2" fontId="31" fillId="0" borderId="58" xfId="0" applyNumberFormat="1" applyFont="1" applyBorder="1" applyAlignment="1">
      <alignment horizontal="center" vertical="center" wrapText="1"/>
    </xf>
    <xf numFmtId="0" fontId="9" fillId="0" borderId="4" xfId="0" applyFont="1" applyBorder="1" applyAlignment="1">
      <alignment vertical="center" wrapText="1"/>
    </xf>
    <xf numFmtId="0" fontId="2" fillId="0" borderId="4" xfId="0" applyFont="1" applyBorder="1" applyAlignment="1">
      <alignment horizontal="left" vertical="top" wrapText="1"/>
    </xf>
    <xf numFmtId="0" fontId="6" fillId="0" borderId="4" xfId="0" applyFont="1" applyBorder="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center" wrapText="1"/>
    </xf>
    <xf numFmtId="0" fontId="4" fillId="0" borderId="0" xfId="0" applyFont="1" applyAlignment="1">
      <alignment horizontal="left" vertical="center" wrapText="1" indent="1"/>
    </xf>
    <xf numFmtId="0" fontId="4" fillId="0" borderId="0" xfId="0" applyFont="1" applyAlignment="1">
      <alignment horizontal="left" vertical="top" wrapText="1"/>
    </xf>
    <xf numFmtId="0" fontId="4" fillId="0" borderId="1" xfId="0" applyFont="1" applyBorder="1" applyAlignment="1">
      <alignment horizontal="center" vertical="top" wrapText="1"/>
    </xf>
    <xf numFmtId="0" fontId="6" fillId="0" borderId="4" xfId="0" applyFont="1" applyBorder="1" applyAlignment="1">
      <alignment horizontal="left" vertical="center" wrapText="1"/>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27" xfId="0" applyFont="1" applyBorder="1" applyAlignment="1">
      <alignment vertical="center" wrapText="1"/>
    </xf>
    <xf numFmtId="0" fontId="0" fillId="0" borderId="37" xfId="0" applyBorder="1" applyAlignment="1">
      <alignment horizontal="left" wrapText="1"/>
    </xf>
    <xf numFmtId="0" fontId="0" fillId="0" borderId="38" xfId="0" applyBorder="1" applyAlignment="1">
      <alignment horizontal="left" wrapText="1"/>
    </xf>
    <xf numFmtId="0" fontId="0" fillId="0" borderId="36" xfId="0" applyBorder="1" applyAlignment="1">
      <alignment horizontal="left" wrapText="1"/>
    </xf>
    <xf numFmtId="0" fontId="22" fillId="0" borderId="49" xfId="0" applyFont="1" applyBorder="1" applyAlignment="1">
      <alignment horizontal="center" vertical="top" wrapText="1"/>
    </xf>
    <xf numFmtId="0" fontId="22" fillId="0" borderId="48" xfId="0" applyFont="1" applyBorder="1" applyAlignment="1">
      <alignment horizontal="center" vertical="top" wrapText="1"/>
    </xf>
    <xf numFmtId="0" fontId="22" fillId="0" borderId="49" xfId="0" applyFont="1" applyBorder="1" applyAlignment="1">
      <alignment horizontal="left" vertical="top" wrapText="1" indent="4"/>
    </xf>
    <xf numFmtId="0" fontId="22" fillId="0" borderId="50" xfId="0" applyFont="1" applyBorder="1" applyAlignment="1">
      <alignment horizontal="left" vertical="top" wrapText="1" indent="4"/>
    </xf>
    <xf numFmtId="0" fontId="22" fillId="0" borderId="48" xfId="0" applyFont="1" applyBorder="1" applyAlignment="1">
      <alignment horizontal="left" vertical="top" wrapText="1" indent="4"/>
    </xf>
    <xf numFmtId="0" fontId="22" fillId="0" borderId="50" xfId="0" applyFont="1" applyBorder="1" applyAlignment="1">
      <alignment horizontal="center" vertical="top" wrapText="1"/>
    </xf>
    <xf numFmtId="0" fontId="0" fillId="0" borderId="43" xfId="0" applyBorder="1" applyAlignment="1">
      <alignment horizontal="left" wrapText="1"/>
    </xf>
    <xf numFmtId="0" fontId="0" fillId="0" borderId="42" xfId="0" applyBorder="1" applyAlignment="1">
      <alignment horizontal="left" wrapText="1"/>
    </xf>
    <xf numFmtId="0" fontId="0" fillId="0" borderId="44" xfId="0" applyBorder="1" applyAlignment="1">
      <alignment horizontal="left" wrapText="1"/>
    </xf>
    <xf numFmtId="0" fontId="0" fillId="0" borderId="29" xfId="0" applyBorder="1" applyAlignment="1">
      <alignment horizontal="left" vertical="top" wrapText="1"/>
    </xf>
    <xf numFmtId="0" fontId="0" fillId="0" borderId="53" xfId="0" applyBorder="1" applyAlignment="1">
      <alignment horizontal="left" vertical="top" wrapText="1"/>
    </xf>
    <xf numFmtId="0" fontId="0" fillId="0" borderId="52" xfId="0" applyBorder="1" applyAlignment="1">
      <alignment horizontal="left" vertical="top" wrapText="1"/>
    </xf>
    <xf numFmtId="0" fontId="0" fillId="0" borderId="47" xfId="0" applyBorder="1" applyAlignment="1">
      <alignment horizontal="left" vertical="top" wrapText="1"/>
    </xf>
    <xf numFmtId="0" fontId="0" fillId="0" borderId="0" xfId="0" applyAlignment="1">
      <alignment horizontal="left" vertical="top" wrapText="1"/>
    </xf>
    <xf numFmtId="0" fontId="0" fillId="0" borderId="46" xfId="0" applyBorder="1" applyAlignment="1">
      <alignment horizontal="left" vertical="top" wrapText="1"/>
    </xf>
    <xf numFmtId="0" fontId="0" fillId="0" borderId="41" xfId="0" applyBorder="1" applyAlignment="1">
      <alignment horizontal="left" vertical="top" wrapText="1"/>
    </xf>
    <xf numFmtId="0" fontId="0" fillId="0" borderId="1" xfId="0" applyBorder="1" applyAlignment="1">
      <alignment horizontal="left" vertical="top" wrapText="1"/>
    </xf>
    <xf numFmtId="0" fontId="0" fillId="0" borderId="40" xfId="0" applyBorder="1" applyAlignment="1">
      <alignment horizontal="left" vertical="top" wrapText="1"/>
    </xf>
    <xf numFmtId="0" fontId="0" fillId="0" borderId="29" xfId="0" applyBorder="1" applyAlignment="1">
      <alignment horizontal="center" vertical="top" wrapText="1"/>
    </xf>
    <xf numFmtId="0" fontId="0" fillId="0" borderId="53" xfId="0" applyBorder="1" applyAlignment="1">
      <alignment horizontal="center" vertical="top" wrapText="1"/>
    </xf>
    <xf numFmtId="0" fontId="0" fillId="0" borderId="52" xfId="0" applyBorder="1" applyAlignment="1">
      <alignment horizontal="center" vertical="top" wrapText="1"/>
    </xf>
    <xf numFmtId="0" fontId="0" fillId="0" borderId="41" xfId="0" applyBorder="1" applyAlignment="1">
      <alignment horizontal="center" vertical="top" wrapText="1"/>
    </xf>
    <xf numFmtId="0" fontId="0" fillId="0" borderId="1" xfId="0" applyBorder="1" applyAlignment="1">
      <alignment horizontal="center" vertical="top" wrapText="1"/>
    </xf>
    <xf numFmtId="0" fontId="0" fillId="0" borderId="40" xfId="0" applyBorder="1" applyAlignment="1">
      <alignment horizontal="center" vertical="top" wrapText="1"/>
    </xf>
    <xf numFmtId="0" fontId="0" fillId="0" borderId="28" xfId="0" applyBorder="1" applyAlignment="1">
      <alignment horizontal="center" vertical="top" wrapText="1"/>
    </xf>
    <xf numFmtId="0" fontId="0" fillId="0" borderId="3" xfId="0" applyBorder="1" applyAlignment="1">
      <alignment horizontal="center" vertical="top" wrapText="1"/>
    </xf>
    <xf numFmtId="0" fontId="0" fillId="0" borderId="35" xfId="0" applyBorder="1" applyAlignment="1">
      <alignment horizontal="center" vertical="top" wrapText="1"/>
    </xf>
    <xf numFmtId="0" fontId="22" fillId="4" borderId="28" xfId="0" applyFont="1" applyFill="1" applyBorder="1" applyAlignment="1">
      <alignment horizontal="center" vertical="top" wrapText="1"/>
    </xf>
    <xf numFmtId="0" fontId="22" fillId="4" borderId="35" xfId="0"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4" borderId="28" xfId="0" applyFont="1" applyFill="1" applyBorder="1" applyAlignment="1">
      <alignment horizontal="left" vertical="top" wrapText="1" indent="2"/>
    </xf>
    <xf numFmtId="0" fontId="22" fillId="4" borderId="35" xfId="0" applyFont="1" applyFill="1" applyBorder="1" applyAlignment="1">
      <alignment horizontal="left" vertical="top" wrapText="1" indent="2"/>
    </xf>
    <xf numFmtId="0" fontId="22" fillId="4" borderId="3" xfId="0" applyFont="1" applyFill="1" applyBorder="1" applyAlignment="1">
      <alignment horizontal="left" vertical="top" wrapText="1" indent="2"/>
    </xf>
    <xf numFmtId="0" fontId="22" fillId="0" borderId="28" xfId="0" applyFont="1" applyBorder="1" applyAlignment="1">
      <alignment horizontal="left" vertical="top" wrapText="1" indent="4"/>
    </xf>
    <xf numFmtId="0" fontId="22" fillId="0" borderId="35" xfId="0" applyFont="1" applyBorder="1" applyAlignment="1">
      <alignment horizontal="left" vertical="top" wrapText="1" indent="4"/>
    </xf>
    <xf numFmtId="0" fontId="22" fillId="0" borderId="3" xfId="0" applyFont="1" applyBorder="1" applyAlignment="1">
      <alignment horizontal="left" vertical="top" wrapText="1" indent="4"/>
    </xf>
    <xf numFmtId="0" fontId="22" fillId="0" borderId="28" xfId="0" applyFont="1" applyBorder="1" applyAlignment="1">
      <alignment horizontal="left" vertical="top" wrapText="1" indent="2"/>
    </xf>
    <xf numFmtId="0" fontId="22" fillId="0" borderId="35" xfId="0" applyFont="1" applyBorder="1" applyAlignment="1">
      <alignment horizontal="left" vertical="top" wrapText="1" indent="2"/>
    </xf>
    <xf numFmtId="0" fontId="22" fillId="0" borderId="3" xfId="0" applyFont="1" applyBorder="1" applyAlignment="1">
      <alignment horizontal="left" vertical="top" wrapText="1" indent="2"/>
    </xf>
    <xf numFmtId="0" fontId="22" fillId="0" borderId="28" xfId="0" applyFont="1" applyBorder="1" applyAlignment="1">
      <alignment horizontal="center" vertical="top" wrapText="1"/>
    </xf>
    <xf numFmtId="0" fontId="22" fillId="0" borderId="3" xfId="0" applyFont="1" applyBorder="1" applyAlignment="1">
      <alignment horizontal="center" vertical="top" wrapText="1"/>
    </xf>
    <xf numFmtId="0" fontId="32" fillId="0" borderId="55" xfId="0" applyFont="1" applyBorder="1" applyAlignment="1">
      <alignment horizontal="center" vertical="center" wrapText="1"/>
    </xf>
    <xf numFmtId="0" fontId="32" fillId="0" borderId="23"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2454910" y="608583"/>
    <xdr:ext cx="1269491" cy="173736"/>
    <xdr:pic>
      <xdr:nvPicPr>
        <xdr:cNvPr id="2" name="image1.jpeg">
          <a:extLst>
            <a:ext uri="{FF2B5EF4-FFF2-40B4-BE49-F238E27FC236}">
              <a16:creationId xmlns:a16="http://schemas.microsoft.com/office/drawing/2014/main" id="{ED69CD0C-C287-4396-9FB6-94814454F0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4910" y="608583"/>
          <a:ext cx="1269491" cy="173736"/>
        </a:xfrm>
        <a:prstGeom prst="rect">
          <a:avLst/>
        </a:prstGeom>
      </xdr:spPr>
    </xdr:pic>
    <xdr:clientData/>
  </xdr:absoluteAnchor>
  <xdr:oneCellAnchor>
    <xdr:from>
      <xdr:col>0</xdr:col>
      <xdr:colOff>724662</xdr:colOff>
      <xdr:row>0</xdr:row>
      <xdr:rowOff>107187</xdr:rowOff>
    </xdr:from>
    <xdr:ext cx="757428" cy="746759"/>
    <xdr:pic>
      <xdr:nvPicPr>
        <xdr:cNvPr id="3" name="image2.png">
          <a:extLst>
            <a:ext uri="{FF2B5EF4-FFF2-40B4-BE49-F238E27FC236}">
              <a16:creationId xmlns:a16="http://schemas.microsoft.com/office/drawing/2014/main" id="{A1837742-02C6-4742-8A0A-CCC9EB9380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562" y="107187"/>
          <a:ext cx="757428" cy="74675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Dylan Veitch" id="{F5F1E683-7B20-44E9-8F33-92B8BF07C810}" userId="S::Dylan.Veitch@erm.com::418795c2-e19a-436e-8986-4f639e1ada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3" dT="2024-04-22T19:04:56.90" personId="{F5F1E683-7B20-44E9-8F33-92B8BF07C810}" id="{AABEB212-BC9C-49BA-9AB8-FE44376029D9}">
    <text>Only operates in summer. Average hours per day over the year is 12.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cat.com/en_US/products/new/equipment/off-highway-trucks/water-trucks/110600.html" TargetMode="Externa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ia.gov/consumption/commercial/data/2018/guide.ph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hgprotocol.org/sites/default/files/2022-12/Land-Sector-and-Removals-Guidance-Pilot-Testing-and-Review-Draft-Part-2.pdf" TargetMode="External"/><Relationship Id="rId1" Type="http://schemas.openxmlformats.org/officeDocument/2006/relationships/hyperlink" Target="https://www.ipcc-nggip.iges.or.jp/public/2019rf/pdf/4_Volume4/19R_V4_Ch07_Wetland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0281-ABF7-4201-AF32-E5605EE63F78}">
  <dimension ref="A1:AC91"/>
  <sheetViews>
    <sheetView topLeftCell="A5" zoomScaleNormal="100" workbookViewId="0">
      <selection activeCell="H30" sqref="H30"/>
    </sheetView>
  </sheetViews>
  <sheetFormatPr defaultColWidth="8.83203125" defaultRowHeight="12.95"/>
  <cols>
    <col min="1" max="1" width="20.1640625" style="1" customWidth="1"/>
    <col min="2" max="2" width="13" style="1" customWidth="1"/>
    <col min="3" max="3" width="7" style="1" customWidth="1"/>
    <col min="4" max="4" width="9.33203125" style="1" customWidth="1"/>
    <col min="5" max="5" width="15.33203125" style="1" customWidth="1"/>
    <col min="6" max="6" width="9.83203125" style="1" customWidth="1"/>
    <col min="7" max="7" width="10" style="1" customWidth="1"/>
    <col min="8" max="8" width="14.6640625" style="1" bestFit="1" customWidth="1"/>
    <col min="9" max="9" width="7.33203125" style="1" bestFit="1" customWidth="1"/>
    <col min="10" max="11" width="9.6640625" style="1" customWidth="1"/>
    <col min="12" max="12" width="8.1640625" style="1" customWidth="1"/>
    <col min="13" max="13" width="9.6640625" style="1" customWidth="1"/>
    <col min="14" max="14" width="10" style="1" customWidth="1"/>
    <col min="15" max="15" width="10.33203125" style="1" customWidth="1"/>
    <col min="16" max="16" width="14.6640625" style="1" bestFit="1" customWidth="1"/>
    <col min="17" max="17" width="7" style="1" customWidth="1"/>
    <col min="18" max="18" width="6.6640625" style="1" customWidth="1"/>
    <col min="19" max="19" width="7" style="1" customWidth="1"/>
    <col min="20" max="20" width="7.1640625" style="1" customWidth="1"/>
    <col min="21" max="21" width="7" style="1" customWidth="1"/>
    <col min="22" max="22" width="6.83203125" style="1" customWidth="1"/>
    <col min="23" max="23" width="7.1640625" style="1" customWidth="1"/>
    <col min="24" max="24" width="6.33203125" style="1" customWidth="1"/>
    <col min="25" max="25" width="6.83203125" style="1" customWidth="1"/>
    <col min="26" max="26" width="14" style="1" customWidth="1"/>
    <col min="27" max="16384" width="8.83203125" style="1"/>
  </cols>
  <sheetData>
    <row r="1" spans="1:26" ht="12.95" customHeight="1">
      <c r="A1" s="194"/>
      <c r="B1" s="207" t="s">
        <v>0</v>
      </c>
      <c r="C1" s="208"/>
      <c r="D1" s="208"/>
      <c r="E1" s="208"/>
      <c r="F1" s="208"/>
      <c r="G1" s="208"/>
      <c r="H1" s="208"/>
      <c r="I1" s="208"/>
      <c r="J1" s="208"/>
      <c r="K1" s="208"/>
      <c r="L1" s="208"/>
    </row>
    <row r="2" spans="1:26">
      <c r="A2" s="194"/>
      <c r="B2" s="43" t="s">
        <v>1</v>
      </c>
      <c r="C2" s="43" t="s">
        <v>2</v>
      </c>
      <c r="D2" s="43" t="s">
        <v>3</v>
      </c>
      <c r="E2" s="43" t="s">
        <v>4</v>
      </c>
      <c r="F2" s="43" t="s">
        <v>5</v>
      </c>
      <c r="G2" s="43" t="s">
        <v>6</v>
      </c>
      <c r="H2" s="43" t="s">
        <v>7</v>
      </c>
      <c r="I2" s="43" t="s">
        <v>8</v>
      </c>
      <c r="J2" s="43" t="s">
        <v>9</v>
      </c>
      <c r="K2" s="43" t="s">
        <v>10</v>
      </c>
      <c r="L2" s="43" t="s">
        <v>11</v>
      </c>
    </row>
    <row r="3" spans="1:26" ht="12.95" customHeight="1">
      <c r="A3" s="40" t="s">
        <v>12</v>
      </c>
      <c r="B3" s="209"/>
      <c r="C3" s="210"/>
      <c r="D3" s="210"/>
      <c r="E3" s="210"/>
      <c r="F3" s="210"/>
      <c r="G3" s="210"/>
      <c r="H3" s="210"/>
      <c r="I3" s="210"/>
      <c r="J3" s="210"/>
      <c r="K3" s="210"/>
      <c r="L3" s="211"/>
      <c r="O3"/>
    </row>
    <row r="4" spans="1:26" ht="12.95" customHeight="1">
      <c r="A4" s="41" t="s">
        <v>13</v>
      </c>
      <c r="B4" s="129">
        <f>SUM(R15:R17)*365/2000</f>
        <v>6.837618</v>
      </c>
      <c r="C4" s="129">
        <f>SUM(S15:S17)*365/2000</f>
        <v>5.118468</v>
      </c>
      <c r="D4" s="129">
        <f>SUM(Q15:Q17)*365/2000</f>
        <v>1.415616</v>
      </c>
      <c r="E4" s="129">
        <f>SUM(U15:U17)*365/2000</f>
        <v>0.18220800000000001</v>
      </c>
      <c r="F4" s="129">
        <f>SUM(V15:V17)*365/2000</f>
        <v>0.18220800000000001</v>
      </c>
      <c r="G4" s="130">
        <f>SUM(T15:T17)*365/2000</f>
        <v>3.7229999999999999E-2</v>
      </c>
      <c r="H4" s="167">
        <f>SUM(Z15:Z17)*365/2000</f>
        <v>7.680706698531807E-2</v>
      </c>
      <c r="I4" s="130">
        <f>SUM(W15:W17)*365/2000</f>
        <v>3539.04</v>
      </c>
      <c r="J4" s="130">
        <f>SUM(X15:X17)*365/2000</f>
        <v>0.12745799999999999</v>
      </c>
      <c r="K4" s="130">
        <f>SUM(Y15:Y17)*365/2000</f>
        <v>5.5313494948512544E-2</v>
      </c>
      <c r="L4" s="129">
        <f>I4+J4*'Fuel Usage Emissions'!$B$34+K4*'Fuel Usage Emissions'!$B$35</f>
        <v>3558.7098714946569</v>
      </c>
      <c r="O4"/>
    </row>
    <row r="5" spans="1:26" ht="23.1" customHeight="1">
      <c r="A5" s="41" t="s">
        <v>14</v>
      </c>
      <c r="B5" s="129">
        <f>SUM(R12:R14)*365/2000</f>
        <v>19.503525704999998</v>
      </c>
      <c r="C5" s="129">
        <f>SUM(S12:S14)*365/2000</f>
        <v>49.706094929999999</v>
      </c>
      <c r="D5" s="129">
        <f>SUM(Q12:Q14)*365/2000</f>
        <v>4.4285512050000007</v>
      </c>
      <c r="E5" s="129">
        <f>SUM(U12:U14)*365/2000</f>
        <v>0.86059335000000003</v>
      </c>
      <c r="F5" s="129">
        <f>SUM(V12:V14)*365/2000</f>
        <v>0.86059335000000003</v>
      </c>
      <c r="G5" s="129">
        <f>SUM(T12:T14)*365/2000</f>
        <v>9.8675924999999984E-2</v>
      </c>
      <c r="H5" s="167">
        <f>SUM(Z12:Z14)*365/2000</f>
        <v>0.16620281224952968</v>
      </c>
      <c r="I5" s="129">
        <f>SUM(W12:W14)*365/2000</f>
        <v>9758.0289900000007</v>
      </c>
      <c r="J5" s="129">
        <f>SUM(X12:X14)*365/2000</f>
        <v>0.40001992499999989</v>
      </c>
      <c r="K5" s="129">
        <f>SUM(Y12:Y14)*365/2000</f>
        <v>7.4385588006759651E-2</v>
      </c>
      <c r="L5" s="129">
        <f>I5+J5*'Fuel Usage Emissions'!$B$34+K5*'Fuel Usage Emissions'!$B$35</f>
        <v>9790.196393351016</v>
      </c>
      <c r="O5"/>
    </row>
    <row r="6" spans="1:26" ht="21.6" customHeight="1">
      <c r="A6" s="42" t="s">
        <v>15</v>
      </c>
      <c r="B6" s="131">
        <f>SUM(B4:B5)</f>
        <v>26.341143704999997</v>
      </c>
      <c r="C6" s="131">
        <f t="shared" ref="C6:K6" si="0">SUM(C4:C5)</f>
        <v>54.824562929999999</v>
      </c>
      <c r="D6" s="131">
        <f t="shared" si="0"/>
        <v>5.8441672050000006</v>
      </c>
      <c r="E6" s="131">
        <f t="shared" si="0"/>
        <v>1.04280135</v>
      </c>
      <c r="F6" s="131">
        <f t="shared" si="0"/>
        <v>1.04280135</v>
      </c>
      <c r="G6" s="131">
        <f t="shared" si="0"/>
        <v>0.13590592499999998</v>
      </c>
      <c r="H6" s="168">
        <f t="shared" si="0"/>
        <v>0.24300987923484774</v>
      </c>
      <c r="I6" s="131">
        <f t="shared" si="0"/>
        <v>13297.06899</v>
      </c>
      <c r="J6" s="131">
        <f t="shared" si="0"/>
        <v>0.5274779249999999</v>
      </c>
      <c r="K6" s="131">
        <f t="shared" si="0"/>
        <v>0.12969908295527219</v>
      </c>
      <c r="L6" s="132">
        <f>SUM(L4:L5)</f>
        <v>13348.906264845673</v>
      </c>
      <c r="O6"/>
    </row>
    <row r="8" spans="1:26">
      <c r="L8"/>
      <c r="M8"/>
      <c r="N8"/>
    </row>
    <row r="9" spans="1:26" ht="12.95" customHeight="1">
      <c r="A9" s="201" t="s">
        <v>16</v>
      </c>
      <c r="B9" s="201"/>
      <c r="C9" s="201"/>
      <c r="D9" s="201"/>
      <c r="E9" s="201"/>
      <c r="F9" s="201"/>
      <c r="G9" s="201"/>
      <c r="H9" s="201"/>
      <c r="I9" s="201"/>
      <c r="J9" s="201"/>
      <c r="K9" s="201"/>
      <c r="L9" s="201"/>
      <c r="M9" s="201"/>
      <c r="N9" s="201"/>
      <c r="O9" s="201"/>
      <c r="P9" s="201"/>
      <c r="Q9" s="201"/>
      <c r="R9" s="201"/>
      <c r="S9" s="201"/>
      <c r="T9" s="201"/>
      <c r="U9" s="201"/>
      <c r="V9" s="201"/>
      <c r="W9" s="201"/>
      <c r="X9" s="201"/>
      <c r="Y9" s="128"/>
      <c r="Z9" s="23"/>
    </row>
    <row r="10" spans="1:26" ht="12.95" customHeight="1">
      <c r="A10" s="24"/>
      <c r="B10" s="24"/>
      <c r="C10" s="24"/>
      <c r="D10" s="24"/>
      <c r="E10" s="24"/>
      <c r="F10" s="24"/>
      <c r="G10" s="24"/>
      <c r="H10" s="56" t="s">
        <v>17</v>
      </c>
      <c r="I10" s="56"/>
      <c r="J10" s="24"/>
      <c r="K10" s="24"/>
      <c r="L10" s="24"/>
      <c r="M10" s="24"/>
      <c r="N10" s="24"/>
      <c r="O10" s="24"/>
      <c r="P10" s="24"/>
      <c r="Q10" s="24"/>
      <c r="R10" s="24"/>
      <c r="S10" s="24"/>
      <c r="T10" s="202" t="s">
        <v>12</v>
      </c>
      <c r="U10" s="202"/>
      <c r="V10" s="24"/>
      <c r="W10" s="24"/>
      <c r="X10" s="24"/>
      <c r="Y10" s="23"/>
      <c r="Z10" s="23"/>
    </row>
    <row r="11" spans="1:26" ht="39.950000000000003" customHeight="1">
      <c r="A11" s="25" t="s">
        <v>18</v>
      </c>
      <c r="B11" s="69" t="s">
        <v>19</v>
      </c>
      <c r="C11" s="69" t="s">
        <v>20</v>
      </c>
      <c r="D11" s="69" t="s">
        <v>21</v>
      </c>
      <c r="E11" s="69" t="s">
        <v>22</v>
      </c>
      <c r="F11" s="69" t="s">
        <v>23</v>
      </c>
      <c r="G11" s="69" t="s">
        <v>24</v>
      </c>
      <c r="H11" s="69" t="s">
        <v>25</v>
      </c>
      <c r="I11" s="69" t="s">
        <v>26</v>
      </c>
      <c r="J11" s="69" t="s">
        <v>27</v>
      </c>
      <c r="K11" s="69" t="s">
        <v>28</v>
      </c>
      <c r="L11" s="69" t="s">
        <v>29</v>
      </c>
      <c r="M11" s="69" t="s">
        <v>30</v>
      </c>
      <c r="N11" s="69" t="s">
        <v>31</v>
      </c>
      <c r="O11" s="69" t="s">
        <v>32</v>
      </c>
      <c r="P11" s="69" t="s">
        <v>33</v>
      </c>
      <c r="Q11" s="27" t="s">
        <v>34</v>
      </c>
      <c r="R11" s="27" t="s">
        <v>35</v>
      </c>
      <c r="S11" s="27" t="s">
        <v>36</v>
      </c>
      <c r="T11" s="27" t="s">
        <v>37</v>
      </c>
      <c r="U11" s="27" t="s">
        <v>38</v>
      </c>
      <c r="V11" s="27" t="s">
        <v>39</v>
      </c>
      <c r="W11" s="26" t="s">
        <v>40</v>
      </c>
      <c r="X11" s="27" t="s">
        <v>41</v>
      </c>
      <c r="Y11" s="69" t="s">
        <v>42</v>
      </c>
      <c r="Z11" s="26" t="s">
        <v>43</v>
      </c>
    </row>
    <row r="12" spans="1:26" s="2" customFormat="1" ht="13.5" customHeight="1">
      <c r="A12" s="67" t="s">
        <v>44</v>
      </c>
      <c r="B12" s="70" t="s">
        <v>45</v>
      </c>
      <c r="C12" s="71">
        <v>1600</v>
      </c>
      <c r="D12" s="72">
        <v>0.38</v>
      </c>
      <c r="E12" s="185">
        <f>C$37*$D12*$C12/$B$37</f>
        <v>0.1716384</v>
      </c>
      <c r="F12" s="185">
        <f t="shared" ref="F12:I12" si="1">D$37*$D12*$C12/$B$37</f>
        <v>0.75410239999999995</v>
      </c>
      <c r="G12" s="185">
        <f t="shared" si="1"/>
        <v>1.9323456000000001</v>
      </c>
      <c r="H12" s="185">
        <f t="shared" si="1"/>
        <v>3.8303999999999994E-3</v>
      </c>
      <c r="I12" s="185">
        <f t="shared" si="1"/>
        <v>3.3196800000000005E-2</v>
      </c>
      <c r="J12" s="185">
        <f>G$37*$D12*$C12/$B$37</f>
        <v>3.3196800000000005E-2</v>
      </c>
      <c r="K12" s="185">
        <f t="shared" ref="K12:L12" si="2">H$37*$D12*$C12/$B$37</f>
        <v>380</v>
      </c>
      <c r="L12" s="185">
        <f t="shared" si="2"/>
        <v>1.5503999999999997E-2</v>
      </c>
      <c r="M12" s="185">
        <f>0.0025454576598093*C12*D12</f>
        <v>1.5476382571640546</v>
      </c>
      <c r="N12" s="73">
        <f>M12*'Fuel Usage Emissions'!$E$30*2.205</f>
        <v>2.0475254142280439E-3</v>
      </c>
      <c r="O12" s="71">
        <v>5</v>
      </c>
      <c r="P12" s="71">
        <v>24</v>
      </c>
      <c r="Q12" s="57">
        <f>E12*$O$12*$P$12</f>
        <v>20.596608</v>
      </c>
      <c r="R12" s="57">
        <f t="shared" ref="R12:V12" si="3">F12*$O$12*$P$12</f>
        <v>90.492287999999988</v>
      </c>
      <c r="S12" s="57">
        <f t="shared" si="3"/>
        <v>231.881472</v>
      </c>
      <c r="T12" s="57">
        <f t="shared" si="3"/>
        <v>0.45964799999999989</v>
      </c>
      <c r="U12" s="57">
        <f t="shared" si="3"/>
        <v>3.9836160000000005</v>
      </c>
      <c r="V12" s="57">
        <f t="shared" si="3"/>
        <v>3.9836160000000005</v>
      </c>
      <c r="W12" s="57">
        <f>K12*$O$12*$P$12</f>
        <v>45600</v>
      </c>
      <c r="X12" s="57">
        <f>L12*$O$12*$P$12</f>
        <v>1.8604799999999995</v>
      </c>
      <c r="Y12" s="57">
        <f>N12*$O$12*$P$12</f>
        <v>0.24570304970736528</v>
      </c>
      <c r="Z12" s="31">
        <f>K82</f>
        <v>0.85294423245796092</v>
      </c>
    </row>
    <row r="13" spans="1:26" s="2" customFormat="1" ht="13.5" customHeight="1">
      <c r="A13" s="166" t="s">
        <v>46</v>
      </c>
      <c r="B13" s="70" t="s">
        <v>45</v>
      </c>
      <c r="C13" s="71">
        <v>1025</v>
      </c>
      <c r="D13" s="72">
        <v>0.38</v>
      </c>
      <c r="E13" s="185">
        <f>C$37*$C13/$B$37</f>
        <v>0.28935749999999999</v>
      </c>
      <c r="F13" s="185">
        <f t="shared" ref="F13:I13" si="4">D$37*$C13/$B$37</f>
        <v>1.2713074999999998</v>
      </c>
      <c r="G13" s="185">
        <f t="shared" si="4"/>
        <v>3.2576549999999997</v>
      </c>
      <c r="H13" s="73">
        <f t="shared" si="4"/>
        <v>6.4575000000000006E-3</v>
      </c>
      <c r="I13" s="185">
        <f t="shared" si="4"/>
        <v>5.5965000000000001E-2</v>
      </c>
      <c r="J13" s="185">
        <f>G$37*$C13/$B$37</f>
        <v>5.5965000000000001E-2</v>
      </c>
      <c r="K13" s="186">
        <f t="shared" ref="K13:L13" si="5">H$37*$C13/$B$37</f>
        <v>640.625</v>
      </c>
      <c r="L13" s="185">
        <f t="shared" si="5"/>
        <v>2.6137500000000001E-2</v>
      </c>
      <c r="M13" s="185">
        <f t="shared" ref="M13:M16" si="6">0.0025454576598093*C13*D13</f>
        <v>0.99145575849572243</v>
      </c>
      <c r="N13" s="73">
        <f>M13*'Fuel Usage Emissions'!$E$30*2.205</f>
        <v>1.3116959684898407E-3</v>
      </c>
      <c r="O13" s="71">
        <v>1</v>
      </c>
      <c r="P13" s="71">
        <v>12</v>
      </c>
      <c r="Q13" s="57">
        <f>E13*$O$13*$P$13</f>
        <v>3.4722900000000001</v>
      </c>
      <c r="R13" s="57">
        <f t="shared" ref="R13:X13" si="7">F13*$O$13*$P$13</f>
        <v>15.255689999999998</v>
      </c>
      <c r="S13" s="57">
        <f t="shared" si="7"/>
        <v>39.091859999999997</v>
      </c>
      <c r="T13" s="57">
        <f>H13*$O$13*$P$13</f>
        <v>7.7490000000000003E-2</v>
      </c>
      <c r="U13" s="57">
        <f t="shared" si="7"/>
        <v>0.67158000000000007</v>
      </c>
      <c r="V13" s="57">
        <f t="shared" si="7"/>
        <v>0.67158000000000007</v>
      </c>
      <c r="W13" s="57">
        <f t="shared" si="7"/>
        <v>7687.5</v>
      </c>
      <c r="X13" s="57">
        <f t="shared" si="7"/>
        <v>0.31364999999999998</v>
      </c>
      <c r="Y13" s="57">
        <f t="shared" ref="Y13:Y17" si="8">N13*$O$12*$P$12</f>
        <v>0.15740351621878088</v>
      </c>
      <c r="Z13" s="31">
        <f>L82</f>
        <v>5.4641739891838119E-2</v>
      </c>
    </row>
    <row r="14" spans="1:26" s="2" customFormat="1" ht="13.5" customHeight="1">
      <c r="A14" s="68" t="s">
        <v>47</v>
      </c>
      <c r="B14" s="70" t="s">
        <v>45</v>
      </c>
      <c r="C14" s="71">
        <v>15</v>
      </c>
      <c r="D14" s="72">
        <v>0.74</v>
      </c>
      <c r="E14" s="185">
        <f>C41*$D14</f>
        <v>8.2140000000000008E-3</v>
      </c>
      <c r="F14" s="185">
        <f t="shared" ref="F14:H14" si="9">D41*$D14</f>
        <v>4.6693999999999999E-2</v>
      </c>
      <c r="G14" s="185">
        <f t="shared" si="9"/>
        <v>5.7868000000000003E-2</v>
      </c>
      <c r="H14" s="185">
        <f t="shared" si="9"/>
        <v>1.4799999999999999E-4</v>
      </c>
      <c r="I14" s="185">
        <f>G41*$D14</f>
        <v>2.516E-3</v>
      </c>
      <c r="J14" s="185">
        <f>G41*$D14</f>
        <v>2.516E-3</v>
      </c>
      <c r="K14" s="185">
        <f t="shared" ref="K14:L14" si="10">H41*$D14</f>
        <v>7.5479999999999992</v>
      </c>
      <c r="L14" s="185">
        <f t="shared" si="10"/>
        <v>7.3999999999999999E-4</v>
      </c>
      <c r="M14" s="185">
        <f>0.0025454576598093*C14*D14</f>
        <v>2.8254580023883234E-2</v>
      </c>
      <c r="N14" s="73">
        <f>M14*'Fuel Usage Emissions'!$E$30*2.205</f>
        <v>3.7380809371597519E-5</v>
      </c>
      <c r="O14" s="71">
        <v>2</v>
      </c>
      <c r="P14" s="71">
        <v>12</v>
      </c>
      <c r="Q14" s="57">
        <f>E14*$O$14*$P$14</f>
        <v>0.19713600000000003</v>
      </c>
      <c r="R14" s="57">
        <f t="shared" ref="R14:X14" si="11">F14*$O$14*$P$14</f>
        <v>1.1206559999999999</v>
      </c>
      <c r="S14" s="57">
        <f t="shared" si="11"/>
        <v>1.3888320000000001</v>
      </c>
      <c r="T14" s="57">
        <f t="shared" si="11"/>
        <v>3.5519999999999996E-3</v>
      </c>
      <c r="U14" s="57">
        <f t="shared" si="11"/>
        <v>6.0384E-2</v>
      </c>
      <c r="V14" s="57">
        <f t="shared" si="11"/>
        <v>6.0384E-2</v>
      </c>
      <c r="W14" s="57">
        <f t="shared" si="11"/>
        <v>181.15199999999999</v>
      </c>
      <c r="X14" s="57">
        <f t="shared" si="11"/>
        <v>1.7759999999999998E-2</v>
      </c>
      <c r="Y14" s="57">
        <f>N14*$O$12*$P$12</f>
        <v>4.4856971245917018E-3</v>
      </c>
      <c r="Z14" s="31">
        <f>M82</f>
        <v>3.114368743514266E-3</v>
      </c>
    </row>
    <row r="15" spans="1:26" s="2" customFormat="1" ht="13.5" customHeight="1">
      <c r="A15" s="67" t="s">
        <v>48</v>
      </c>
      <c r="B15" s="70" t="s">
        <v>45</v>
      </c>
      <c r="C15" s="71">
        <v>500</v>
      </c>
      <c r="D15" s="72">
        <v>0.5</v>
      </c>
      <c r="E15" s="185">
        <f t="shared" ref="E15:E17" si="12">C42*$D15</f>
        <v>4.7300000000000002E-2</v>
      </c>
      <c r="F15" s="185">
        <f t="shared" ref="F15:F17" si="13">D42*$D15</f>
        <v>0.22475000000000001</v>
      </c>
      <c r="G15" s="185">
        <f t="shared" ref="G15:G17" si="14">E42*$D15</f>
        <v>0.15454999999999999</v>
      </c>
      <c r="H15" s="185">
        <f t="shared" ref="H15:I17" si="15">F42*$D15</f>
        <v>1.15E-3</v>
      </c>
      <c r="I15" s="185">
        <f t="shared" si="15"/>
        <v>5.3499999999999997E-3</v>
      </c>
      <c r="J15" s="185">
        <f t="shared" ref="J15:J17" si="16">G42*$D15</f>
        <v>5.3499999999999997E-3</v>
      </c>
      <c r="K15" s="185">
        <f t="shared" ref="K15:K17" si="17">H42*$D15</f>
        <v>117</v>
      </c>
      <c r="L15" s="185">
        <f t="shared" ref="L15:L17" si="18">I42*$D15</f>
        <v>4.2500000000000003E-3</v>
      </c>
      <c r="M15" s="185">
        <f t="shared" si="6"/>
        <v>0.6363644149523251</v>
      </c>
      <c r="N15" s="73">
        <f>M15*'Fuel Usage Emissions'!$E$30*2.205</f>
        <v>8.4191012098192605E-4</v>
      </c>
      <c r="O15" s="71">
        <v>2</v>
      </c>
      <c r="P15" s="71">
        <v>24</v>
      </c>
      <c r="Q15" s="57">
        <f>E15*$O$15*$P$15</f>
        <v>2.2704</v>
      </c>
      <c r="R15" s="57">
        <f t="shared" ref="R15:W15" si="19">F15*$O$15*$P$15</f>
        <v>10.788</v>
      </c>
      <c r="S15" s="57">
        <f t="shared" si="19"/>
        <v>7.4184000000000001</v>
      </c>
      <c r="T15" s="57">
        <f t="shared" si="19"/>
        <v>5.5199999999999999E-2</v>
      </c>
      <c r="U15" s="57">
        <f t="shared" si="19"/>
        <v>0.25679999999999997</v>
      </c>
      <c r="V15" s="57">
        <f t="shared" si="19"/>
        <v>0.25679999999999997</v>
      </c>
      <c r="W15" s="57">
        <f t="shared" si="19"/>
        <v>5616</v>
      </c>
      <c r="X15" s="57">
        <f>L15*$O$15*$P$15</f>
        <v>0.20400000000000001</v>
      </c>
      <c r="Y15" s="57">
        <f t="shared" si="8"/>
        <v>0.10102921451783113</v>
      </c>
      <c r="Z15" s="31">
        <f>N82</f>
        <v>0.1402868803384805</v>
      </c>
    </row>
    <row r="16" spans="1:26" s="2" customFormat="1" ht="13.5" customHeight="1">
      <c r="A16" s="67" t="s">
        <v>49</v>
      </c>
      <c r="B16" s="70" t="s">
        <v>45</v>
      </c>
      <c r="C16" s="71">
        <v>500</v>
      </c>
      <c r="D16" s="72">
        <v>0.5</v>
      </c>
      <c r="E16" s="185">
        <f t="shared" si="12"/>
        <v>6.3149999999999998E-2</v>
      </c>
      <c r="F16" s="185">
        <f t="shared" si="13"/>
        <v>0.32529999999999998</v>
      </c>
      <c r="G16" s="185">
        <f t="shared" si="14"/>
        <v>0.20635000000000001</v>
      </c>
      <c r="H16" s="185">
        <f t="shared" si="15"/>
        <v>1.9499999999999999E-3</v>
      </c>
      <c r="I16" s="185">
        <f t="shared" ref="I16:I17" si="20">G43*$D16</f>
        <v>7.1999999999999998E-3</v>
      </c>
      <c r="J16" s="185">
        <f t="shared" si="16"/>
        <v>7.1999999999999998E-3</v>
      </c>
      <c r="K16" s="185">
        <f t="shared" si="17"/>
        <v>172.5</v>
      </c>
      <c r="L16" s="185">
        <f t="shared" si="18"/>
        <v>5.7000000000000002E-3</v>
      </c>
      <c r="M16" s="185">
        <f t="shared" si="6"/>
        <v>0.6363644149523251</v>
      </c>
      <c r="N16" s="73">
        <f>M16*'Fuel Usage Emissions'!$E$30*2.205</f>
        <v>8.4191012098192605E-4</v>
      </c>
      <c r="O16" s="71">
        <v>2</v>
      </c>
      <c r="P16" s="71">
        <v>24</v>
      </c>
      <c r="Q16" s="57">
        <f>E16*$O$16*$P$16</f>
        <v>3.0312000000000001</v>
      </c>
      <c r="R16" s="57">
        <f t="shared" ref="R16:X16" si="21">F16*$O$16*$P$16</f>
        <v>15.6144</v>
      </c>
      <c r="S16" s="57">
        <f t="shared" si="21"/>
        <v>9.9047999999999998</v>
      </c>
      <c r="T16" s="57">
        <f t="shared" si="21"/>
        <v>9.3599999999999989E-2</v>
      </c>
      <c r="U16" s="57">
        <f>I16*$O$16*$P$16</f>
        <v>0.34560000000000002</v>
      </c>
      <c r="V16" s="57">
        <f t="shared" si="21"/>
        <v>0.34560000000000002</v>
      </c>
      <c r="W16" s="57">
        <f t="shared" si="21"/>
        <v>8280</v>
      </c>
      <c r="X16" s="57">
        <f t="shared" si="21"/>
        <v>0.27360000000000001</v>
      </c>
      <c r="Y16" s="57">
        <f t="shared" si="8"/>
        <v>0.10102921451783113</v>
      </c>
      <c r="Z16" s="31">
        <f>O82</f>
        <v>0.1402868803384805</v>
      </c>
    </row>
    <row r="17" spans="1:29" s="2" customFormat="1" ht="13.5" customHeight="1">
      <c r="A17" s="68" t="s">
        <v>50</v>
      </c>
      <c r="B17" s="70" t="s">
        <v>45</v>
      </c>
      <c r="C17" s="71">
        <v>500</v>
      </c>
      <c r="D17" s="72">
        <v>0.5</v>
      </c>
      <c r="E17" s="185">
        <f t="shared" si="12"/>
        <v>5.1150000000000001E-2</v>
      </c>
      <c r="F17" s="185">
        <f t="shared" si="13"/>
        <v>0.23050000000000001</v>
      </c>
      <c r="G17" s="185">
        <f t="shared" si="14"/>
        <v>0.22339999999999999</v>
      </c>
      <c r="H17" s="185">
        <f t="shared" si="15"/>
        <v>1.15E-3</v>
      </c>
      <c r="I17" s="185">
        <f t="shared" si="20"/>
        <v>8.2500000000000004E-3</v>
      </c>
      <c r="J17" s="185">
        <f t="shared" si="16"/>
        <v>8.2500000000000004E-3</v>
      </c>
      <c r="K17" s="185">
        <f t="shared" si="17"/>
        <v>114.5</v>
      </c>
      <c r="L17" s="185">
        <f t="shared" si="18"/>
        <v>4.5999999999999999E-3</v>
      </c>
      <c r="M17" s="185">
        <f>0.0025454576598093*C17*D17</f>
        <v>0.6363644149523251</v>
      </c>
      <c r="N17" s="73">
        <f>M17*'Fuel Usage Emissions'!$E$30*2.205</f>
        <v>8.4191012098192605E-4</v>
      </c>
      <c r="O17" s="71">
        <v>2</v>
      </c>
      <c r="P17" s="71">
        <v>24</v>
      </c>
      <c r="Q17" s="57">
        <f>E17*$O$17*$P$17</f>
        <v>2.4552</v>
      </c>
      <c r="R17" s="57">
        <f t="shared" ref="R17:X17" si="22">F17*$O$17*$P$17</f>
        <v>11.064</v>
      </c>
      <c r="S17" s="57">
        <f t="shared" si="22"/>
        <v>10.723199999999999</v>
      </c>
      <c r="T17" s="57">
        <f t="shared" si="22"/>
        <v>5.5199999999999999E-2</v>
      </c>
      <c r="U17" s="57">
        <f t="shared" si="22"/>
        <v>0.39600000000000002</v>
      </c>
      <c r="V17" s="57">
        <f t="shared" si="22"/>
        <v>0.39600000000000002</v>
      </c>
      <c r="W17" s="57">
        <f t="shared" si="22"/>
        <v>5496</v>
      </c>
      <c r="X17" s="57">
        <f t="shared" si="22"/>
        <v>0.2208</v>
      </c>
      <c r="Y17" s="57">
        <f t="shared" si="8"/>
        <v>0.10102921451783113</v>
      </c>
      <c r="Z17" s="31">
        <f>P82</f>
        <v>0.1402868803384805</v>
      </c>
    </row>
    <row r="18" spans="1:29" s="2" customFormat="1" ht="13.5" customHeight="1">
      <c r="A18" s="33" t="s">
        <v>15</v>
      </c>
      <c r="B18" s="203"/>
      <c r="C18" s="203"/>
      <c r="D18" s="203"/>
      <c r="E18" s="203"/>
      <c r="F18" s="203"/>
      <c r="G18" s="203"/>
      <c r="H18" s="203"/>
      <c r="I18" s="203"/>
      <c r="J18" s="203"/>
      <c r="K18" s="203"/>
      <c r="L18" s="203"/>
      <c r="M18" s="203"/>
      <c r="N18" s="203"/>
      <c r="O18" s="203"/>
      <c r="P18" s="203"/>
      <c r="Q18" s="34">
        <f t="shared" ref="Q18:Y18" si="23">SUM(Q12:Q17)</f>
        <v>32.022833999999996</v>
      </c>
      <c r="R18" s="34">
        <f t="shared" si="23"/>
        <v>144.33503399999998</v>
      </c>
      <c r="S18" s="34">
        <f t="shared" si="23"/>
        <v>300.40856400000007</v>
      </c>
      <c r="T18" s="34">
        <f t="shared" si="23"/>
        <v>0.74468999999999996</v>
      </c>
      <c r="U18" s="34">
        <f t="shared" si="23"/>
        <v>5.7139800000000003</v>
      </c>
      <c r="V18" s="34">
        <f t="shared" si="23"/>
        <v>5.7139800000000003</v>
      </c>
      <c r="W18" s="34">
        <f t="shared" si="23"/>
        <v>72860.652000000002</v>
      </c>
      <c r="X18" s="34">
        <f t="shared" si="23"/>
        <v>2.8902899999999998</v>
      </c>
      <c r="Y18" s="34">
        <f t="shared" si="23"/>
        <v>0.71067990660423108</v>
      </c>
      <c r="Z18" s="34">
        <f>SUM(Z12:Z17)</f>
        <v>1.3315609821087546</v>
      </c>
    </row>
    <row r="19" spans="1:29" ht="11.1"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row>
    <row r="20" spans="1:29" ht="11.1" customHeight="1">
      <c r="A20" s="37" t="s">
        <v>51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9" ht="11.1" customHeight="1">
      <c r="A21" s="38" t="s">
        <v>52</v>
      </c>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9" ht="11.1" customHeight="1">
      <c r="A22" s="38" t="s">
        <v>53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9" ht="11.1" customHeight="1">
      <c r="A23" s="38" t="s">
        <v>54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9" ht="11.1" customHeight="1">
      <c r="A24" s="38" t="s">
        <v>55</v>
      </c>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9" ht="11.1" customHeight="1">
      <c r="A25" s="200" t="s">
        <v>56</v>
      </c>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127"/>
      <c r="Z25" s="36"/>
    </row>
    <row r="26" spans="1:29" ht="11.1" customHeight="1">
      <c r="A26" s="200"/>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127"/>
      <c r="Z26" s="36"/>
    </row>
    <row r="29" spans="1:29">
      <c r="A29" s="21" t="s">
        <v>57</v>
      </c>
      <c r="B29" s="3"/>
      <c r="C29" s="3"/>
      <c r="D29" s="3"/>
      <c r="E29" s="3"/>
      <c r="F29" s="3"/>
      <c r="G29" s="3"/>
      <c r="H29" s="3"/>
      <c r="I29" s="3"/>
      <c r="J29" s="22"/>
      <c r="K29" s="22"/>
      <c r="L29" s="22"/>
      <c r="M29" s="22"/>
      <c r="N29" s="22"/>
      <c r="O29" s="22"/>
      <c r="P29" s="22"/>
      <c r="Q29" s="22"/>
      <c r="R29" s="22"/>
      <c r="S29" s="22"/>
      <c r="T29" s="22"/>
      <c r="U29" s="22"/>
      <c r="V29" s="22"/>
      <c r="W29" s="22"/>
      <c r="X29" s="22"/>
      <c r="Y29" s="22"/>
      <c r="Z29" s="22"/>
      <c r="AA29" s="22"/>
      <c r="AB29" s="22"/>
      <c r="AC29" s="22"/>
    </row>
    <row r="30" spans="1:29" ht="13.5" thickBot="1">
      <c r="A30" s="3"/>
      <c r="B30" s="3"/>
      <c r="C30" s="3"/>
      <c r="D30" s="3"/>
      <c r="E30" s="3"/>
      <c r="F30" s="3"/>
      <c r="G30" s="3"/>
      <c r="H30" s="3"/>
      <c r="I30" s="3"/>
      <c r="J30" s="22"/>
      <c r="K30" s="22"/>
      <c r="L30" s="22"/>
      <c r="M30" s="22"/>
      <c r="N30" s="22"/>
      <c r="O30" s="22"/>
      <c r="P30" s="22"/>
      <c r="Q30" s="22"/>
      <c r="R30" s="22"/>
      <c r="S30" s="22"/>
      <c r="T30" s="22"/>
      <c r="U30" s="22"/>
      <c r="V30" s="22"/>
      <c r="W30" s="22"/>
      <c r="X30" s="22"/>
      <c r="Y30" s="22"/>
      <c r="Z30" s="22"/>
      <c r="AA30" s="22"/>
      <c r="AB30" s="22"/>
      <c r="AC30" s="22"/>
    </row>
    <row r="31" spans="1:29" ht="13.5" thickBot="1">
      <c r="A31" s="4">
        <v>2023</v>
      </c>
      <c r="B31" s="3"/>
      <c r="C31" s="3"/>
      <c r="D31" s="3"/>
      <c r="E31" s="3"/>
      <c r="F31" s="3"/>
      <c r="G31" s="3"/>
      <c r="H31" s="3"/>
      <c r="I31" s="3"/>
      <c r="J31" s="22"/>
      <c r="K31" s="22"/>
      <c r="L31" s="22"/>
      <c r="M31" s="22"/>
      <c r="N31" s="22"/>
      <c r="O31" s="22"/>
      <c r="P31" s="22"/>
      <c r="Q31" s="22"/>
      <c r="R31" s="22"/>
      <c r="S31" s="22"/>
      <c r="T31" s="22"/>
      <c r="U31" s="22"/>
      <c r="V31" s="22"/>
      <c r="W31" s="22"/>
      <c r="X31" s="22"/>
      <c r="Y31" s="22"/>
      <c r="Z31" s="22"/>
      <c r="AA31" s="22"/>
      <c r="AB31" s="22"/>
      <c r="AC31" s="22"/>
    </row>
    <row r="32" spans="1:29" ht="13.5" thickBot="1">
      <c r="A32" s="3"/>
      <c r="B32" s="3"/>
      <c r="C32" s="3"/>
      <c r="D32" s="3"/>
      <c r="E32" s="3"/>
      <c r="F32" s="3"/>
      <c r="G32" s="3"/>
      <c r="H32" s="3"/>
      <c r="I32" s="3"/>
      <c r="J32" s="22"/>
      <c r="K32" s="22"/>
      <c r="L32" s="22"/>
      <c r="M32" s="22"/>
      <c r="N32" s="22"/>
      <c r="O32" s="22"/>
      <c r="P32" s="22"/>
      <c r="Q32" s="22"/>
      <c r="R32" s="22"/>
      <c r="S32" s="22"/>
      <c r="T32" s="22"/>
      <c r="U32" s="22"/>
      <c r="V32" s="22"/>
      <c r="W32" s="22"/>
      <c r="X32" s="22"/>
      <c r="Y32" s="22"/>
      <c r="Z32" s="22"/>
      <c r="AA32" s="22"/>
      <c r="AB32" s="22"/>
      <c r="AC32" s="22"/>
    </row>
    <row r="33" spans="1:29" ht="13.5" thickBot="1">
      <c r="A33" s="5" t="s">
        <v>58</v>
      </c>
      <c r="B33" s="6" t="s">
        <v>59</v>
      </c>
      <c r="C33" s="3"/>
      <c r="D33" s="3"/>
      <c r="E33" s="3"/>
      <c r="F33" s="3"/>
      <c r="G33" s="3"/>
      <c r="H33" s="3"/>
      <c r="I33" s="3"/>
      <c r="J33" s="22"/>
      <c r="K33" s="22"/>
      <c r="L33" s="22"/>
      <c r="M33" s="22"/>
      <c r="N33" s="22"/>
      <c r="O33" s="22"/>
      <c r="P33" s="22"/>
      <c r="Q33" s="22"/>
      <c r="R33" s="22"/>
      <c r="S33" s="22"/>
      <c r="T33" s="22"/>
      <c r="U33" s="22"/>
      <c r="V33" s="22"/>
      <c r="W33" s="22"/>
      <c r="X33" s="22"/>
      <c r="Y33" s="22"/>
      <c r="Z33" s="22"/>
      <c r="AA33" s="22"/>
      <c r="AB33" s="22"/>
      <c r="AC33" s="22"/>
    </row>
    <row r="34" spans="1:29">
      <c r="A34" s="7"/>
      <c r="B34" s="8"/>
      <c r="C34" s="3"/>
      <c r="D34" s="3"/>
      <c r="E34" s="3"/>
      <c r="F34" s="3"/>
      <c r="G34" s="3"/>
      <c r="H34" s="3"/>
      <c r="I34" s="3"/>
      <c r="J34" s="22"/>
      <c r="K34" s="22"/>
      <c r="L34" s="22"/>
      <c r="M34" s="22"/>
      <c r="N34" s="22"/>
      <c r="O34" s="22"/>
      <c r="P34" s="22"/>
      <c r="Q34" s="22"/>
      <c r="R34" s="22"/>
      <c r="S34" s="22"/>
      <c r="T34" s="22"/>
      <c r="U34" s="22"/>
      <c r="V34" s="22"/>
      <c r="W34" s="22"/>
      <c r="X34" s="22"/>
      <c r="Y34" s="22"/>
      <c r="Z34" s="22"/>
      <c r="AA34" s="22"/>
      <c r="AB34" s="22"/>
      <c r="AC34" s="22"/>
    </row>
    <row r="35" spans="1:29" ht="13.5" thickBot="1">
      <c r="A35" s="3"/>
      <c r="B35" s="8"/>
      <c r="C35" s="9" t="s">
        <v>60</v>
      </c>
      <c r="D35" s="9" t="s">
        <v>60</v>
      </c>
      <c r="E35" s="9" t="s">
        <v>60</v>
      </c>
      <c r="F35" s="9" t="s">
        <v>60</v>
      </c>
      <c r="G35" s="9" t="s">
        <v>60</v>
      </c>
      <c r="H35" s="9" t="s">
        <v>60</v>
      </c>
      <c r="I35" s="9" t="s">
        <v>60</v>
      </c>
      <c r="J35" s="22"/>
      <c r="K35" s="22"/>
      <c r="L35" s="22"/>
      <c r="M35" s="22"/>
      <c r="N35" s="22"/>
      <c r="O35" s="22"/>
      <c r="P35" s="22"/>
      <c r="Q35" s="22"/>
      <c r="R35" s="22"/>
      <c r="S35" s="22"/>
      <c r="T35" s="22"/>
      <c r="U35" s="22"/>
      <c r="V35" s="22"/>
      <c r="W35" s="22"/>
      <c r="X35" s="22"/>
      <c r="Y35" s="22"/>
      <c r="Z35" s="22"/>
      <c r="AA35" s="22"/>
      <c r="AB35" s="22"/>
      <c r="AC35" s="22"/>
    </row>
    <row r="36" spans="1:29" ht="13.5" thickBot="1">
      <c r="A36" s="10" t="s">
        <v>61</v>
      </c>
      <c r="B36" s="11" t="s">
        <v>62</v>
      </c>
      <c r="C36" s="12" t="s">
        <v>63</v>
      </c>
      <c r="D36" s="12" t="s">
        <v>1</v>
      </c>
      <c r="E36" s="12" t="s">
        <v>64</v>
      </c>
      <c r="F36" s="12" t="s">
        <v>65</v>
      </c>
      <c r="G36" s="12" t="s">
        <v>66</v>
      </c>
      <c r="H36" s="13" t="s">
        <v>8</v>
      </c>
      <c r="I36" s="14" t="s">
        <v>9</v>
      </c>
      <c r="J36" s="22"/>
      <c r="K36" s="22"/>
      <c r="L36" s="22"/>
      <c r="M36" s="22"/>
      <c r="N36" s="22"/>
      <c r="O36" s="22"/>
      <c r="P36" s="22"/>
      <c r="Q36" s="22"/>
      <c r="R36" s="22"/>
      <c r="S36" s="22"/>
      <c r="T36" s="22"/>
      <c r="U36" s="22"/>
      <c r="V36" s="22"/>
      <c r="W36" s="22"/>
      <c r="X36" s="22"/>
      <c r="Y36" s="22"/>
      <c r="Z36" s="22"/>
      <c r="AA36" s="22"/>
      <c r="AB36" s="22"/>
      <c r="AC36" s="22"/>
    </row>
    <row r="37" spans="1:29">
      <c r="A37" s="204" t="s">
        <v>67</v>
      </c>
      <c r="B37" s="122">
        <v>1000</v>
      </c>
      <c r="C37" s="122">
        <v>0.2823</v>
      </c>
      <c r="D37" s="122">
        <v>1.2403</v>
      </c>
      <c r="E37" s="122">
        <v>3.1781999999999999</v>
      </c>
      <c r="F37" s="122">
        <v>6.3E-3</v>
      </c>
      <c r="G37" s="122">
        <v>5.4600000000000003E-2</v>
      </c>
      <c r="H37" s="123">
        <v>625</v>
      </c>
      <c r="I37" s="124">
        <v>2.5499999999999998E-2</v>
      </c>
      <c r="J37" s="22"/>
      <c r="K37" s="22"/>
      <c r="L37" s="22"/>
      <c r="M37" s="22"/>
      <c r="N37" s="22"/>
      <c r="O37" s="22"/>
      <c r="P37" s="22"/>
      <c r="Q37" s="22"/>
      <c r="R37" s="22"/>
      <c r="S37" s="22"/>
      <c r="T37" s="22"/>
      <c r="U37" s="22"/>
      <c r="V37" s="22"/>
      <c r="W37" s="22"/>
      <c r="X37" s="22"/>
      <c r="Y37" s="22"/>
      <c r="Z37" s="22"/>
      <c r="AA37" s="22"/>
      <c r="AB37" s="22"/>
      <c r="AC37" s="22"/>
    </row>
    <row r="38" spans="1:29">
      <c r="A38" s="205"/>
      <c r="B38" s="16">
        <v>500</v>
      </c>
      <c r="C38" s="17">
        <v>0.12872790194785647</v>
      </c>
      <c r="D38" s="17">
        <v>0.53545352200660767</v>
      </c>
      <c r="E38" s="17">
        <v>0.50231288179243283</v>
      </c>
      <c r="F38" s="17">
        <v>2.6730470712514193E-3</v>
      </c>
      <c r="G38" s="17">
        <v>1.8170221213006685E-2</v>
      </c>
      <c r="H38" s="18">
        <v>272.33386286012194</v>
      </c>
      <c r="I38" s="19">
        <v>1.1614911831499734E-2</v>
      </c>
      <c r="J38" s="22"/>
      <c r="K38" s="22"/>
      <c r="L38" s="22"/>
      <c r="M38" s="22"/>
      <c r="N38" s="22"/>
      <c r="O38" s="22"/>
      <c r="P38" s="22"/>
      <c r="Q38" s="22"/>
      <c r="R38" s="22"/>
      <c r="S38" s="22"/>
      <c r="T38" s="22"/>
      <c r="U38" s="22"/>
      <c r="V38" s="22"/>
      <c r="W38" s="22"/>
      <c r="X38" s="22"/>
      <c r="Y38" s="22"/>
      <c r="Z38" s="22"/>
      <c r="AA38" s="22"/>
      <c r="AB38" s="22"/>
      <c r="AC38" s="22"/>
    </row>
    <row r="39" spans="1:29">
      <c r="A39" s="205"/>
      <c r="B39" s="16">
        <v>400</v>
      </c>
      <c r="C39" s="17">
        <f>C38*$B$39/$B$38</f>
        <v>0.10298232155828518</v>
      </c>
      <c r="D39" s="17">
        <f t="shared" ref="D39:I39" si="24">D38*$B$39/$B$38</f>
        <v>0.42836281760528611</v>
      </c>
      <c r="E39" s="17">
        <f t="shared" si="24"/>
        <v>0.40185030543394629</v>
      </c>
      <c r="F39" s="17">
        <f t="shared" si="24"/>
        <v>2.1384376570011353E-3</v>
      </c>
      <c r="G39" s="17">
        <f t="shared" si="24"/>
        <v>1.4536176970405348E-2</v>
      </c>
      <c r="H39" s="17">
        <f t="shared" si="24"/>
        <v>217.86709028809756</v>
      </c>
      <c r="I39" s="19">
        <f t="shared" si="24"/>
        <v>9.2919294651997875E-3</v>
      </c>
      <c r="J39" s="22"/>
      <c r="K39" s="22"/>
      <c r="L39" s="22"/>
      <c r="M39" s="22"/>
      <c r="N39" s="22"/>
      <c r="O39" s="22"/>
      <c r="P39" s="22"/>
      <c r="Q39" s="22"/>
      <c r="R39" s="22"/>
      <c r="S39" s="22"/>
      <c r="T39" s="22"/>
      <c r="U39" s="22"/>
      <c r="V39" s="22"/>
      <c r="W39" s="22"/>
      <c r="X39" s="22"/>
      <c r="Y39" s="22"/>
      <c r="Z39" s="22"/>
      <c r="AA39" s="22"/>
      <c r="AB39" s="22"/>
      <c r="AC39" s="22"/>
    </row>
    <row r="40" spans="1:29">
      <c r="A40" s="206"/>
      <c r="B40" s="58">
        <v>175</v>
      </c>
      <c r="C40" s="59">
        <v>6.9199634972350682E-2</v>
      </c>
      <c r="D40" s="59">
        <v>0.75364161038120714</v>
      </c>
      <c r="E40" s="59">
        <v>0.30683305099601549</v>
      </c>
      <c r="F40" s="59">
        <v>1.4074515661136018E-3</v>
      </c>
      <c r="G40" s="59">
        <v>1.5215735908688917E-2</v>
      </c>
      <c r="H40" s="60">
        <v>125.08771701983432</v>
      </c>
      <c r="I40" s="61">
        <v>6.24377145788493E-3</v>
      </c>
      <c r="J40" s="22"/>
      <c r="K40" s="22"/>
      <c r="L40" s="22"/>
      <c r="M40" s="22"/>
      <c r="N40" s="22"/>
      <c r="O40" s="22"/>
      <c r="P40" s="22"/>
      <c r="Q40" s="22"/>
      <c r="R40" s="22"/>
      <c r="S40" s="22"/>
      <c r="T40" s="22"/>
      <c r="U40" s="22"/>
      <c r="V40" s="22"/>
      <c r="W40" s="22"/>
      <c r="X40" s="22"/>
      <c r="Y40" s="22"/>
      <c r="Z40" s="22"/>
      <c r="AA40" s="22"/>
      <c r="AB40" s="22"/>
      <c r="AC40" s="22"/>
    </row>
    <row r="41" spans="1:29">
      <c r="A41" s="39" t="s">
        <v>68</v>
      </c>
      <c r="B41" s="58">
        <v>15</v>
      </c>
      <c r="C41" s="59">
        <v>1.11E-2</v>
      </c>
      <c r="D41" s="59">
        <v>6.3100000000000003E-2</v>
      </c>
      <c r="E41" s="59">
        <v>7.8200000000000006E-2</v>
      </c>
      <c r="F41" s="59">
        <v>2.0000000000000001E-4</v>
      </c>
      <c r="G41" s="59">
        <v>3.3999999999999998E-3</v>
      </c>
      <c r="H41" s="60">
        <v>10.199999999999999</v>
      </c>
      <c r="I41" s="61">
        <v>1E-3</v>
      </c>
      <c r="J41" s="22"/>
      <c r="K41" s="22"/>
      <c r="L41" s="22"/>
      <c r="M41" s="22"/>
      <c r="N41" s="22"/>
      <c r="O41" s="22"/>
      <c r="P41" s="22"/>
      <c r="Q41" s="22"/>
      <c r="R41" s="22"/>
      <c r="S41" s="22"/>
      <c r="T41" s="22"/>
      <c r="U41" s="22"/>
      <c r="V41" s="22"/>
      <c r="W41" s="22"/>
      <c r="X41" s="22"/>
      <c r="Y41" s="22"/>
      <c r="Z41" s="22"/>
      <c r="AA41" s="22"/>
      <c r="AB41" s="22"/>
      <c r="AC41" s="22"/>
    </row>
    <row r="42" spans="1:29">
      <c r="A42" s="63" t="s">
        <v>48</v>
      </c>
      <c r="B42" s="15">
        <v>500</v>
      </c>
      <c r="C42" s="15">
        <v>9.4600000000000004E-2</v>
      </c>
      <c r="D42" s="15">
        <v>0.44950000000000001</v>
      </c>
      <c r="E42" s="15">
        <v>0.30909999999999999</v>
      </c>
      <c r="F42" s="15">
        <v>2.3E-3</v>
      </c>
      <c r="G42" s="15">
        <v>1.0699999999999999E-2</v>
      </c>
      <c r="H42" s="65">
        <v>234</v>
      </c>
      <c r="I42" s="66">
        <v>8.5000000000000006E-3</v>
      </c>
      <c r="J42" s="22"/>
      <c r="K42" s="22"/>
      <c r="L42" s="22"/>
      <c r="M42" s="22"/>
      <c r="N42" s="22"/>
      <c r="O42" s="22"/>
      <c r="P42" s="22"/>
      <c r="Q42" s="22"/>
      <c r="R42" s="22"/>
      <c r="S42" s="22"/>
      <c r="T42" s="22"/>
      <c r="U42" s="22"/>
      <c r="V42" s="22"/>
      <c r="W42" s="22"/>
      <c r="X42" s="22"/>
      <c r="Y42" s="22"/>
      <c r="Z42" s="22"/>
      <c r="AA42" s="22"/>
      <c r="AB42" s="22"/>
      <c r="AC42" s="22"/>
    </row>
    <row r="43" spans="1:29">
      <c r="A43" s="74" t="s">
        <v>69</v>
      </c>
      <c r="B43" s="58">
        <v>500</v>
      </c>
      <c r="C43" s="59">
        <v>0.1263</v>
      </c>
      <c r="D43" s="59">
        <v>0.65059999999999996</v>
      </c>
      <c r="E43" s="59">
        <v>0.41270000000000001</v>
      </c>
      <c r="F43" s="59">
        <v>3.8999999999999998E-3</v>
      </c>
      <c r="G43" s="59">
        <v>1.44E-2</v>
      </c>
      <c r="H43" s="64">
        <v>345</v>
      </c>
      <c r="I43" s="61">
        <v>1.14E-2</v>
      </c>
      <c r="J43" s="22"/>
      <c r="K43" s="22"/>
      <c r="L43" s="22"/>
      <c r="M43" s="22"/>
      <c r="N43" s="22"/>
      <c r="O43" s="22"/>
      <c r="P43" s="22"/>
      <c r="Q43" s="22"/>
      <c r="R43" s="22"/>
      <c r="S43" s="22"/>
      <c r="T43" s="22"/>
      <c r="U43" s="22"/>
      <c r="V43" s="22"/>
      <c r="W43" s="22"/>
      <c r="X43" s="22"/>
      <c r="Y43" s="22"/>
      <c r="Z43" s="22"/>
      <c r="AA43" s="22"/>
      <c r="AB43" s="22"/>
      <c r="AC43" s="22"/>
    </row>
    <row r="44" spans="1:29" ht="13.5" thickBot="1">
      <c r="A44" s="62" t="s">
        <v>50</v>
      </c>
      <c r="B44" s="20">
        <v>500</v>
      </c>
      <c r="C44" s="20">
        <v>0.1023</v>
      </c>
      <c r="D44" s="20">
        <v>0.46100000000000002</v>
      </c>
      <c r="E44" s="20">
        <v>0.44679999999999997</v>
      </c>
      <c r="F44" s="20">
        <v>2.3E-3</v>
      </c>
      <c r="G44" s="20">
        <v>1.6500000000000001E-2</v>
      </c>
      <c r="H44" s="75">
        <v>229</v>
      </c>
      <c r="I44" s="76">
        <v>9.1999999999999998E-3</v>
      </c>
      <c r="J44" s="22"/>
      <c r="K44" s="22"/>
      <c r="L44" s="22"/>
      <c r="M44" s="22"/>
      <c r="N44" s="22"/>
      <c r="O44" s="22"/>
      <c r="P44" s="22"/>
      <c r="Q44" s="22"/>
      <c r="R44" s="22"/>
      <c r="S44" s="22"/>
      <c r="T44" s="22"/>
      <c r="U44" s="22"/>
      <c r="V44" s="22"/>
      <c r="W44" s="22"/>
      <c r="X44" s="22"/>
      <c r="Y44" s="22"/>
      <c r="Z44" s="22"/>
      <c r="AA44" s="22"/>
      <c r="AB44" s="22"/>
      <c r="AC44" s="22"/>
    </row>
    <row r="45" spans="1:29">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row>
    <row r="46" spans="1:29" ht="24.95" customHeight="1">
      <c r="A46" s="198" t="s">
        <v>70</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26"/>
      <c r="Z46" s="22"/>
      <c r="AA46" s="22"/>
      <c r="AB46" s="22"/>
      <c r="AC46" s="22"/>
    </row>
    <row r="47" spans="1:29">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row>
    <row r="48" spans="1:29" ht="44.1">
      <c r="A48" s="51" t="s">
        <v>71</v>
      </c>
      <c r="B48" s="52" t="s">
        <v>72</v>
      </c>
      <c r="C48" s="52" t="s">
        <v>73</v>
      </c>
      <c r="D48" s="52" t="s">
        <v>74</v>
      </c>
      <c r="E48" s="52" t="s">
        <v>75</v>
      </c>
      <c r="F48" s="52" t="s">
        <v>76</v>
      </c>
      <c r="G48" s="52" t="s">
        <v>77</v>
      </c>
      <c r="H48" s="52" t="s">
        <v>78</v>
      </c>
      <c r="I48" s="52" t="s">
        <v>79</v>
      </c>
      <c r="J48" s="52" t="s">
        <v>80</v>
      </c>
      <c r="K48" s="53" t="s">
        <v>81</v>
      </c>
      <c r="L48" s="53" t="s">
        <v>82</v>
      </c>
      <c r="M48" s="53" t="s">
        <v>83</v>
      </c>
      <c r="N48" s="53" t="s">
        <v>84</v>
      </c>
      <c r="O48" s="53" t="s">
        <v>85</v>
      </c>
      <c r="P48" s="53" t="s">
        <v>86</v>
      </c>
    </row>
    <row r="49" spans="1:16">
      <c r="A49" s="44" t="s">
        <v>87</v>
      </c>
      <c r="B49" s="49"/>
      <c r="C49" s="49"/>
      <c r="D49" s="50"/>
      <c r="E49" s="50"/>
      <c r="F49" s="50"/>
      <c r="G49" s="50"/>
      <c r="H49" s="50"/>
      <c r="I49" s="50"/>
      <c r="J49" s="50"/>
      <c r="K49" s="50"/>
      <c r="L49" s="50"/>
      <c r="M49" s="50"/>
      <c r="N49" s="50"/>
      <c r="O49" s="50"/>
      <c r="P49" s="50"/>
    </row>
    <row r="50" spans="1:16">
      <c r="A50" s="45" t="s">
        <v>88</v>
      </c>
      <c r="B50" s="50" t="s">
        <v>89</v>
      </c>
      <c r="C50" s="50" t="s">
        <v>90</v>
      </c>
      <c r="D50" s="54">
        <v>7.76E-4</v>
      </c>
      <c r="E50" s="54">
        <f>$M$12*D50</f>
        <v>1.2009672875593063E-3</v>
      </c>
      <c r="F50" s="54">
        <f>$M$13*D50</f>
        <v>7.6936966859268057E-4</v>
      </c>
      <c r="G50" s="54">
        <f>$M$14*D50</f>
        <v>2.1925554098533388E-5</v>
      </c>
      <c r="H50" s="54">
        <f>$M$15*D50</f>
        <v>4.9381878600300425E-4</v>
      </c>
      <c r="I50" s="54">
        <f>$M$16*D50</f>
        <v>4.9381878600300425E-4</v>
      </c>
      <c r="J50" s="54">
        <f>$M$17*D50</f>
        <v>4.9381878600300425E-4</v>
      </c>
      <c r="K50" s="54">
        <f>E50*$O$12*$P$12</f>
        <v>0.14411607450711675</v>
      </c>
      <c r="L50" s="54">
        <f t="shared" ref="L50:L81" si="25">F50*$O$13*$P$13</f>
        <v>9.2324360231121668E-3</v>
      </c>
      <c r="M50" s="54">
        <f t="shared" ref="M50:M81" si="26">G50*$O$14*$P$14</f>
        <v>5.2621329836480127E-4</v>
      </c>
      <c r="N50" s="54">
        <f>H50*$O$15*$P$15</f>
        <v>2.3703301728144204E-2</v>
      </c>
      <c r="O50" s="54">
        <f>I50*$O$16*$P$16</f>
        <v>2.3703301728144204E-2</v>
      </c>
      <c r="P50" s="54">
        <f>J50*$O$17*$P$17</f>
        <v>2.3703301728144204E-2</v>
      </c>
    </row>
    <row r="51" spans="1:16">
      <c r="A51" s="45" t="s">
        <v>91</v>
      </c>
      <c r="B51" s="50" t="s">
        <v>89</v>
      </c>
      <c r="C51" s="50" t="s">
        <v>90</v>
      </c>
      <c r="D51" s="54">
        <v>2.81E-4</v>
      </c>
      <c r="E51" s="54">
        <f>$M$12*D51</f>
        <v>4.3488635026309934E-4</v>
      </c>
      <c r="F51" s="54">
        <f t="shared" ref="F51:F81" si="27">$M$13*D51</f>
        <v>2.7859906813729798E-4</v>
      </c>
      <c r="G51" s="54">
        <f t="shared" ref="G51:G81" si="28">$M$14*D51</f>
        <v>7.9395369867111884E-6</v>
      </c>
      <c r="H51" s="54">
        <f t="shared" ref="H51:H81" si="29">$M$15*D51</f>
        <v>1.7881840060160334E-4</v>
      </c>
      <c r="I51" s="54">
        <f t="shared" ref="I51:I81" si="30">$M$16*D51</f>
        <v>1.7881840060160334E-4</v>
      </c>
      <c r="J51" s="54">
        <f t="shared" ref="J51:J81" si="31">$M$17*D51</f>
        <v>1.7881840060160334E-4</v>
      </c>
      <c r="K51" s="54">
        <f t="shared" ref="K51:K81" si="32">E51*$O$12*$P$12</f>
        <v>5.2186362031571926E-2</v>
      </c>
      <c r="L51" s="54">
        <f t="shared" si="25"/>
        <v>3.3431888176475759E-3</v>
      </c>
      <c r="M51" s="54">
        <f t="shared" si="26"/>
        <v>1.9054888768106854E-4</v>
      </c>
      <c r="N51" s="54">
        <f t="shared" ref="N51:N81" si="33">H51*$O$15*$P$15</f>
        <v>8.5832832288769596E-3</v>
      </c>
      <c r="O51" s="54">
        <f t="shared" ref="O51:O81" si="34">I51*$O$16*$P$16</f>
        <v>8.5832832288769596E-3</v>
      </c>
      <c r="P51" s="54">
        <f t="shared" ref="P51:P81" si="35">J51*$O$17*$P$17</f>
        <v>8.5832832288769596E-3</v>
      </c>
    </row>
    <row r="52" spans="1:16">
      <c r="A52" s="45" t="s">
        <v>92</v>
      </c>
      <c r="B52" s="50" t="s">
        <v>89</v>
      </c>
      <c r="C52" s="50" t="s">
        <v>90</v>
      </c>
      <c r="D52" s="54">
        <v>1.93E-4</v>
      </c>
      <c r="E52" s="54">
        <f t="shared" ref="E52:E81" si="36">$M$12*D52</f>
        <v>2.9869418363266253E-4</v>
      </c>
      <c r="F52" s="54">
        <f t="shared" si="27"/>
        <v>1.9135096138967443E-4</v>
      </c>
      <c r="G52" s="54">
        <f t="shared" si="28"/>
        <v>5.4531339446094637E-6</v>
      </c>
      <c r="H52" s="54">
        <f t="shared" si="29"/>
        <v>1.2281833208579874E-4</v>
      </c>
      <c r="I52" s="54">
        <f t="shared" si="30"/>
        <v>1.2281833208579874E-4</v>
      </c>
      <c r="J52" s="54">
        <f t="shared" si="31"/>
        <v>1.2281833208579874E-4</v>
      </c>
      <c r="K52" s="54">
        <f t="shared" si="32"/>
        <v>3.5843302035919497E-2</v>
      </c>
      <c r="L52" s="54">
        <f t="shared" si="25"/>
        <v>2.2962115366760931E-3</v>
      </c>
      <c r="M52" s="54">
        <f t="shared" si="26"/>
        <v>1.3087521467062714E-4</v>
      </c>
      <c r="N52" s="54">
        <f t="shared" si="33"/>
        <v>5.8952799401183389E-3</v>
      </c>
      <c r="O52" s="54">
        <f t="shared" si="34"/>
        <v>5.8952799401183389E-3</v>
      </c>
      <c r="P52" s="54">
        <f t="shared" si="35"/>
        <v>5.8952799401183389E-3</v>
      </c>
    </row>
    <row r="53" spans="1:16">
      <c r="A53" s="45" t="s">
        <v>93</v>
      </c>
      <c r="B53" s="50" t="s">
        <v>89</v>
      </c>
      <c r="C53" s="50" t="s">
        <v>90</v>
      </c>
      <c r="D53" s="54">
        <v>2.7899999999999999E-3</v>
      </c>
      <c r="E53" s="54">
        <f t="shared" si="36"/>
        <v>4.3179107374877118E-3</v>
      </c>
      <c r="F53" s="54">
        <f t="shared" si="27"/>
        <v>2.7661615662030654E-3</v>
      </c>
      <c r="G53" s="54">
        <f t="shared" si="28"/>
        <v>7.8830278266634225E-5</v>
      </c>
      <c r="H53" s="54">
        <f t="shared" si="29"/>
        <v>1.7754567177169869E-3</v>
      </c>
      <c r="I53" s="54">
        <f t="shared" si="30"/>
        <v>1.7754567177169869E-3</v>
      </c>
      <c r="J53" s="54">
        <f t="shared" si="31"/>
        <v>1.7754567177169869E-3</v>
      </c>
      <c r="K53" s="54">
        <f t="shared" si="32"/>
        <v>0.51814928849852537</v>
      </c>
      <c r="L53" s="54">
        <f t="shared" si="25"/>
        <v>3.3193938794436786E-2</v>
      </c>
      <c r="M53" s="54">
        <f t="shared" si="26"/>
        <v>1.8919266783992213E-3</v>
      </c>
      <c r="N53" s="54">
        <f t="shared" si="33"/>
        <v>8.5221922450415377E-2</v>
      </c>
      <c r="O53" s="54">
        <f t="shared" si="34"/>
        <v>8.5221922450415377E-2</v>
      </c>
      <c r="P53" s="54">
        <f t="shared" si="35"/>
        <v>8.5221922450415377E-2</v>
      </c>
    </row>
    <row r="54" spans="1:16">
      <c r="A54" s="45" t="s">
        <v>94</v>
      </c>
      <c r="B54" s="50" t="s">
        <v>89</v>
      </c>
      <c r="C54" s="50" t="s">
        <v>90</v>
      </c>
      <c r="D54" s="54">
        <v>7.8899999999999993E-5</v>
      </c>
      <c r="E54" s="54">
        <f t="shared" si="36"/>
        <v>1.2210865849024389E-4</v>
      </c>
      <c r="F54" s="54">
        <f t="shared" si="27"/>
        <v>7.8225859345312497E-5</v>
      </c>
      <c r="G54" s="54">
        <f t="shared" si="28"/>
        <v>2.2292863638843869E-6</v>
      </c>
      <c r="H54" s="54">
        <f t="shared" si="29"/>
        <v>5.0209152339738446E-5</v>
      </c>
      <c r="I54" s="54">
        <f t="shared" si="30"/>
        <v>5.0209152339738446E-5</v>
      </c>
      <c r="J54" s="54">
        <f t="shared" si="31"/>
        <v>5.0209152339738446E-5</v>
      </c>
      <c r="K54" s="54">
        <f t="shared" si="32"/>
        <v>1.4653039018829268E-2</v>
      </c>
      <c r="L54" s="54">
        <f t="shared" si="25"/>
        <v>9.3871031214375002E-4</v>
      </c>
      <c r="M54" s="54">
        <f t="shared" si="26"/>
        <v>5.3502872733225284E-5</v>
      </c>
      <c r="N54" s="54">
        <f t="shared" si="33"/>
        <v>2.4100393123074456E-3</v>
      </c>
      <c r="O54" s="54">
        <f t="shared" si="34"/>
        <v>2.4100393123074456E-3</v>
      </c>
      <c r="P54" s="54">
        <f t="shared" si="35"/>
        <v>2.4100393123074456E-3</v>
      </c>
    </row>
    <row r="55" spans="1:16">
      <c r="A55" s="45" t="s">
        <v>95</v>
      </c>
      <c r="B55" s="50" t="s">
        <v>89</v>
      </c>
      <c r="C55" s="50" t="s">
        <v>90</v>
      </c>
      <c r="D55" s="54">
        <v>2.5199999999999999E-5</v>
      </c>
      <c r="E55" s="54">
        <f t="shared" si="36"/>
        <v>3.9000484080534175E-5</v>
      </c>
      <c r="F55" s="54">
        <f t="shared" si="27"/>
        <v>2.4984685114092204E-5</v>
      </c>
      <c r="G55" s="54">
        <f t="shared" si="28"/>
        <v>7.120154166018575E-7</v>
      </c>
      <c r="H55" s="54">
        <f t="shared" si="29"/>
        <v>1.6036383256798592E-5</v>
      </c>
      <c r="I55" s="54">
        <f t="shared" si="30"/>
        <v>1.6036383256798592E-5</v>
      </c>
      <c r="J55" s="54">
        <f t="shared" si="31"/>
        <v>1.6036383256798592E-5</v>
      </c>
      <c r="K55" s="54">
        <f t="shared" si="32"/>
        <v>4.6800580896641008E-3</v>
      </c>
      <c r="L55" s="54">
        <f t="shared" si="25"/>
        <v>2.9981622136910648E-4</v>
      </c>
      <c r="M55" s="54">
        <f t="shared" si="26"/>
        <v>1.7088369998444578E-5</v>
      </c>
      <c r="N55" s="54">
        <f t="shared" si="33"/>
        <v>7.697463963263324E-4</v>
      </c>
      <c r="O55" s="54">
        <f t="shared" si="34"/>
        <v>7.697463963263324E-4</v>
      </c>
      <c r="P55" s="54">
        <f t="shared" si="35"/>
        <v>7.697463963263324E-4</v>
      </c>
    </row>
    <row r="56" spans="1:16" ht="21.95">
      <c r="A56" s="46" t="s">
        <v>96</v>
      </c>
      <c r="B56" s="50" t="s">
        <v>89</v>
      </c>
      <c r="C56" s="50" t="s">
        <v>90</v>
      </c>
      <c r="D56" s="54">
        <v>7.8800000000000008E-6</v>
      </c>
      <c r="E56" s="54">
        <f t="shared" si="36"/>
        <v>1.2195389466452752E-5</v>
      </c>
      <c r="F56" s="54">
        <f t="shared" si="27"/>
        <v>7.8126713769462935E-6</v>
      </c>
      <c r="G56" s="54">
        <f t="shared" si="28"/>
        <v>2.226460905881999E-7</v>
      </c>
      <c r="H56" s="54">
        <f t="shared" si="29"/>
        <v>5.0145515898243222E-6</v>
      </c>
      <c r="I56" s="54">
        <f t="shared" si="30"/>
        <v>5.0145515898243222E-6</v>
      </c>
      <c r="J56" s="54">
        <f t="shared" si="31"/>
        <v>5.0145515898243222E-6</v>
      </c>
      <c r="K56" s="54">
        <f t="shared" si="32"/>
        <v>1.4634467359743303E-3</v>
      </c>
      <c r="L56" s="54">
        <f t="shared" si="25"/>
        <v>9.3752056523355528E-5</v>
      </c>
      <c r="M56" s="54">
        <f t="shared" si="26"/>
        <v>5.3435061741167977E-6</v>
      </c>
      <c r="N56" s="54">
        <f t="shared" si="33"/>
        <v>2.4069847631156746E-4</v>
      </c>
      <c r="O56" s="54">
        <f t="shared" si="34"/>
        <v>2.4069847631156746E-4</v>
      </c>
      <c r="P56" s="54">
        <f t="shared" si="35"/>
        <v>2.4069847631156746E-4</v>
      </c>
    </row>
    <row r="57" spans="1:16">
      <c r="A57" s="47" t="s">
        <v>97</v>
      </c>
      <c r="B57" s="50" t="s">
        <v>89</v>
      </c>
      <c r="C57" s="50" t="s">
        <v>98</v>
      </c>
      <c r="D57" s="54">
        <v>1.2999999999999999E-4</v>
      </c>
      <c r="E57" s="54">
        <f t="shared" si="36"/>
        <v>2.0119297343132708E-4</v>
      </c>
      <c r="F57" s="54">
        <f t="shared" si="27"/>
        <v>1.2888924860444389E-4</v>
      </c>
      <c r="G57" s="54">
        <f t="shared" si="28"/>
        <v>3.6730954031048199E-6</v>
      </c>
      <c r="H57" s="54">
        <f t="shared" si="29"/>
        <v>8.2727373943802256E-5</v>
      </c>
      <c r="I57" s="54">
        <f t="shared" si="30"/>
        <v>8.2727373943802256E-5</v>
      </c>
      <c r="J57" s="54">
        <f t="shared" si="31"/>
        <v>8.2727373943802256E-5</v>
      </c>
      <c r="K57" s="54">
        <f t="shared" si="32"/>
        <v>2.4143156811759249E-2</v>
      </c>
      <c r="L57" s="54">
        <f t="shared" si="25"/>
        <v>1.5466709832533268E-3</v>
      </c>
      <c r="M57" s="54">
        <f t="shared" si="26"/>
        <v>8.8154289674515681E-5</v>
      </c>
      <c r="N57" s="54">
        <f t="shared" si="33"/>
        <v>3.9709139493025085E-3</v>
      </c>
      <c r="O57" s="54">
        <f t="shared" si="34"/>
        <v>3.9709139493025085E-3</v>
      </c>
      <c r="P57" s="54">
        <f t="shared" si="35"/>
        <v>3.9709139493025085E-3</v>
      </c>
    </row>
    <row r="58" spans="1:16">
      <c r="A58" s="47" t="s">
        <v>99</v>
      </c>
      <c r="B58" s="50" t="s">
        <v>89</v>
      </c>
      <c r="C58" s="50" t="s">
        <v>98</v>
      </c>
      <c r="D58" s="54">
        <v>9.2299999999999997E-6</v>
      </c>
      <c r="E58" s="54">
        <f t="shared" si="36"/>
        <v>1.4284701113624223E-5</v>
      </c>
      <c r="F58" s="54">
        <f t="shared" si="27"/>
        <v>9.1511366509155174E-6</v>
      </c>
      <c r="G58" s="54">
        <f t="shared" si="28"/>
        <v>2.6078977362044223E-7</v>
      </c>
      <c r="H58" s="54">
        <f t="shared" si="29"/>
        <v>5.8736435500099609E-6</v>
      </c>
      <c r="I58" s="54">
        <f t="shared" si="30"/>
        <v>5.8736435500099609E-6</v>
      </c>
      <c r="J58" s="54">
        <f t="shared" si="31"/>
        <v>5.8736435500099609E-6</v>
      </c>
      <c r="K58" s="54">
        <f t="shared" si="32"/>
        <v>1.714164133634907E-3</v>
      </c>
      <c r="L58" s="54">
        <f t="shared" si="25"/>
        <v>1.098136398109862E-4</v>
      </c>
      <c r="M58" s="54">
        <f t="shared" si="26"/>
        <v>6.2589545668906131E-6</v>
      </c>
      <c r="N58" s="54">
        <f t="shared" si="33"/>
        <v>2.8193489040047814E-4</v>
      </c>
      <c r="O58" s="54">
        <f t="shared" si="34"/>
        <v>2.8193489040047814E-4</v>
      </c>
      <c r="P58" s="54">
        <f t="shared" si="35"/>
        <v>2.8193489040047814E-4</v>
      </c>
    </row>
    <row r="59" spans="1:16">
      <c r="A59" s="47" t="s">
        <v>100</v>
      </c>
      <c r="B59" s="50" t="s">
        <v>89</v>
      </c>
      <c r="C59" s="50" t="s">
        <v>98</v>
      </c>
      <c r="D59" s="54">
        <v>4.6800000000000001E-6</v>
      </c>
      <c r="E59" s="54">
        <f t="shared" si="36"/>
        <v>7.2429470435277754E-6</v>
      </c>
      <c r="F59" s="54">
        <f t="shared" si="27"/>
        <v>4.6400129497599807E-6</v>
      </c>
      <c r="G59" s="54">
        <f t="shared" si="28"/>
        <v>1.3223143451177352E-7</v>
      </c>
      <c r="H59" s="54">
        <f t="shared" si="29"/>
        <v>2.9781854619768816E-6</v>
      </c>
      <c r="I59" s="54">
        <f t="shared" si="30"/>
        <v>2.9781854619768816E-6</v>
      </c>
      <c r="J59" s="54">
        <f t="shared" si="31"/>
        <v>2.9781854619768816E-6</v>
      </c>
      <c r="K59" s="54">
        <f t="shared" si="32"/>
        <v>8.6915364522333299E-4</v>
      </c>
      <c r="L59" s="54">
        <f t="shared" si="25"/>
        <v>5.5680155397119769E-5</v>
      </c>
      <c r="M59" s="54">
        <f t="shared" si="26"/>
        <v>3.1735544282825645E-6</v>
      </c>
      <c r="N59" s="54">
        <f t="shared" si="33"/>
        <v>1.429529021748903E-4</v>
      </c>
      <c r="O59" s="54">
        <f t="shared" si="34"/>
        <v>1.429529021748903E-4</v>
      </c>
      <c r="P59" s="54">
        <f t="shared" si="35"/>
        <v>1.429529021748903E-4</v>
      </c>
    </row>
    <row r="60" spans="1:16">
      <c r="A60" s="47" t="s">
        <v>101</v>
      </c>
      <c r="B60" s="50" t="s">
        <v>89</v>
      </c>
      <c r="C60" s="50" t="s">
        <v>98</v>
      </c>
      <c r="D60" s="54">
        <v>1.2799999999999999E-5</v>
      </c>
      <c r="E60" s="54">
        <f t="shared" si="36"/>
        <v>1.9809769691699898E-5</v>
      </c>
      <c r="F60" s="54">
        <f t="shared" si="27"/>
        <v>1.2690633708745246E-5</v>
      </c>
      <c r="G60" s="54">
        <f t="shared" si="28"/>
        <v>3.6165862430570537E-7</v>
      </c>
      <c r="H60" s="54">
        <f t="shared" si="29"/>
        <v>8.1454645113897604E-6</v>
      </c>
      <c r="I60" s="54">
        <f t="shared" si="30"/>
        <v>8.1454645113897604E-6</v>
      </c>
      <c r="J60" s="54">
        <f t="shared" si="31"/>
        <v>8.1454645113897604E-6</v>
      </c>
      <c r="K60" s="54">
        <f t="shared" si="32"/>
        <v>2.3771723630039879E-3</v>
      </c>
      <c r="L60" s="54">
        <f t="shared" si="25"/>
        <v>1.5228760450494296E-4</v>
      </c>
      <c r="M60" s="54">
        <f t="shared" si="26"/>
        <v>8.6798069833369293E-6</v>
      </c>
      <c r="N60" s="54">
        <f t="shared" si="33"/>
        <v>3.9098229654670853E-4</v>
      </c>
      <c r="O60" s="54">
        <f t="shared" si="34"/>
        <v>3.9098229654670853E-4</v>
      </c>
      <c r="P60" s="54">
        <f t="shared" si="35"/>
        <v>3.9098229654670853E-4</v>
      </c>
    </row>
    <row r="61" spans="1:16">
      <c r="A61" s="47" t="s">
        <v>102</v>
      </c>
      <c r="B61" s="50" t="s">
        <v>89</v>
      </c>
      <c r="C61" s="50" t="s">
        <v>98</v>
      </c>
      <c r="D61" s="54">
        <v>4.0800000000000002E-5</v>
      </c>
      <c r="E61" s="54">
        <f t="shared" si="36"/>
        <v>6.3143640892293434E-5</v>
      </c>
      <c r="F61" s="54">
        <f t="shared" si="27"/>
        <v>4.0451394946625476E-5</v>
      </c>
      <c r="G61" s="54">
        <f t="shared" si="28"/>
        <v>1.152786864974436E-6</v>
      </c>
      <c r="H61" s="54">
        <f t="shared" si="29"/>
        <v>2.5963668130054864E-5</v>
      </c>
      <c r="I61" s="54">
        <f t="shared" si="30"/>
        <v>2.5963668130054864E-5</v>
      </c>
      <c r="J61" s="54">
        <f t="shared" si="31"/>
        <v>2.5963668130054864E-5</v>
      </c>
      <c r="K61" s="54">
        <f t="shared" si="32"/>
        <v>7.577236907075212E-3</v>
      </c>
      <c r="L61" s="54">
        <f t="shared" si="25"/>
        <v>4.8541673935950571E-4</v>
      </c>
      <c r="M61" s="54">
        <f t="shared" si="26"/>
        <v>2.7666884759386464E-5</v>
      </c>
      <c r="N61" s="54">
        <f t="shared" si="33"/>
        <v>1.2462560702426336E-3</v>
      </c>
      <c r="O61" s="54">
        <f t="shared" si="34"/>
        <v>1.2462560702426336E-3</v>
      </c>
      <c r="P61" s="54">
        <f t="shared" si="35"/>
        <v>1.2462560702426336E-3</v>
      </c>
    </row>
    <row r="62" spans="1:16">
      <c r="A62" s="47" t="s">
        <v>103</v>
      </c>
      <c r="B62" s="50" t="s">
        <v>89</v>
      </c>
      <c r="C62" s="50" t="s">
        <v>98</v>
      </c>
      <c r="D62" s="54">
        <v>1.2300000000000001E-6</v>
      </c>
      <c r="E62" s="54">
        <f t="shared" si="36"/>
        <v>1.9035950563117873E-6</v>
      </c>
      <c r="F62" s="54">
        <f t="shared" si="27"/>
        <v>1.2194905829497387E-6</v>
      </c>
      <c r="G62" s="54">
        <f t="shared" si="28"/>
        <v>3.475313342937638E-8</v>
      </c>
      <c r="H62" s="54">
        <f t="shared" si="29"/>
        <v>7.8272823039135988E-7</v>
      </c>
      <c r="I62" s="54">
        <f t="shared" si="30"/>
        <v>7.8272823039135988E-7</v>
      </c>
      <c r="J62" s="54">
        <f t="shared" si="31"/>
        <v>7.8272823039135988E-7</v>
      </c>
      <c r="K62" s="54">
        <f t="shared" si="32"/>
        <v>2.2843140675741448E-4</v>
      </c>
      <c r="L62" s="54">
        <f t="shared" si="25"/>
        <v>1.4633886995396864E-5</v>
      </c>
      <c r="M62" s="54">
        <f t="shared" si="26"/>
        <v>8.3407520230503311E-7</v>
      </c>
      <c r="N62" s="54">
        <f t="shared" si="33"/>
        <v>3.7570955058785273E-5</v>
      </c>
      <c r="O62" s="54">
        <f t="shared" si="34"/>
        <v>3.7570955058785273E-5</v>
      </c>
      <c r="P62" s="54">
        <f t="shared" si="35"/>
        <v>3.7570955058785273E-5</v>
      </c>
    </row>
    <row r="63" spans="1:16">
      <c r="A63" s="47" t="s">
        <v>104</v>
      </c>
      <c r="B63" s="50" t="s">
        <v>89</v>
      </c>
      <c r="C63" s="50" t="s">
        <v>98</v>
      </c>
      <c r="D63" s="54">
        <v>4.0300000000000004E-6</v>
      </c>
      <c r="E63" s="54">
        <f t="shared" si="36"/>
        <v>6.2369821763711405E-6</v>
      </c>
      <c r="F63" s="54">
        <f t="shared" si="27"/>
        <v>3.9955667067377619E-6</v>
      </c>
      <c r="G63" s="54">
        <f t="shared" si="28"/>
        <v>1.1386595749624944E-7</v>
      </c>
      <c r="H63" s="54">
        <f t="shared" si="29"/>
        <v>2.5645485922578706E-6</v>
      </c>
      <c r="I63" s="54">
        <f t="shared" si="30"/>
        <v>2.5645485922578706E-6</v>
      </c>
      <c r="J63" s="54">
        <f t="shared" si="31"/>
        <v>2.5645485922578706E-6</v>
      </c>
      <c r="K63" s="54">
        <f t="shared" si="32"/>
        <v>7.4843786116453694E-4</v>
      </c>
      <c r="L63" s="54">
        <f t="shared" si="25"/>
        <v>4.7946800480853143E-5</v>
      </c>
      <c r="M63" s="54">
        <f t="shared" si="26"/>
        <v>2.7327829799099867E-6</v>
      </c>
      <c r="N63" s="54">
        <f t="shared" si="33"/>
        <v>1.2309833242837777E-4</v>
      </c>
      <c r="O63" s="54">
        <f t="shared" si="34"/>
        <v>1.2309833242837777E-4</v>
      </c>
      <c r="P63" s="54">
        <f t="shared" si="35"/>
        <v>1.2309833242837777E-4</v>
      </c>
    </row>
    <row r="64" spans="1:16">
      <c r="A64" s="47" t="s">
        <v>105</v>
      </c>
      <c r="B64" s="50" t="s">
        <v>89</v>
      </c>
      <c r="C64" s="50" t="s">
        <v>98</v>
      </c>
      <c r="D64" s="54">
        <v>3.7100000000000001E-6</v>
      </c>
      <c r="E64" s="54">
        <f t="shared" si="36"/>
        <v>5.7417379340786421E-6</v>
      </c>
      <c r="F64" s="54">
        <f t="shared" si="27"/>
        <v>3.6783008640191304E-6</v>
      </c>
      <c r="G64" s="54">
        <f t="shared" si="28"/>
        <v>1.048244918886068E-7</v>
      </c>
      <c r="H64" s="54">
        <f t="shared" si="29"/>
        <v>2.360911979473126E-6</v>
      </c>
      <c r="I64" s="54">
        <f t="shared" si="30"/>
        <v>2.360911979473126E-6</v>
      </c>
      <c r="J64" s="54">
        <f t="shared" si="31"/>
        <v>2.360911979473126E-6</v>
      </c>
      <c r="K64" s="54">
        <f t="shared" si="32"/>
        <v>6.8900855208943706E-4</v>
      </c>
      <c r="L64" s="54">
        <f t="shared" si="25"/>
        <v>4.4139610368229563E-5</v>
      </c>
      <c r="M64" s="54">
        <f t="shared" si="26"/>
        <v>2.5157878053265632E-6</v>
      </c>
      <c r="N64" s="54">
        <f t="shared" si="33"/>
        <v>1.1332377501471004E-4</v>
      </c>
      <c r="O64" s="54">
        <f t="shared" si="34"/>
        <v>1.1332377501471004E-4</v>
      </c>
      <c r="P64" s="54">
        <f t="shared" si="35"/>
        <v>1.1332377501471004E-4</v>
      </c>
    </row>
    <row r="65" spans="1:16">
      <c r="A65" s="47" t="s">
        <v>106</v>
      </c>
      <c r="B65" s="50" t="s">
        <v>89</v>
      </c>
      <c r="C65" s="50" t="s">
        <v>98</v>
      </c>
      <c r="D65" s="54">
        <v>6.2200000000000004E-7</v>
      </c>
      <c r="E65" s="54">
        <f t="shared" si="36"/>
        <v>9.6263099595604206E-7</v>
      </c>
      <c r="F65" s="54">
        <f t="shared" si="27"/>
        <v>6.166854817843394E-7</v>
      </c>
      <c r="G65" s="54">
        <f t="shared" si="28"/>
        <v>1.7574348774855371E-8</v>
      </c>
      <c r="H65" s="54">
        <f t="shared" si="29"/>
        <v>3.9581866610034623E-7</v>
      </c>
      <c r="I65" s="54">
        <f t="shared" si="30"/>
        <v>3.9581866610034623E-7</v>
      </c>
      <c r="J65" s="54">
        <f t="shared" si="31"/>
        <v>3.9581866610034623E-7</v>
      </c>
      <c r="K65" s="54">
        <f t="shared" si="32"/>
        <v>1.1551571951472506E-4</v>
      </c>
      <c r="L65" s="54">
        <f t="shared" si="25"/>
        <v>7.4002257814120723E-6</v>
      </c>
      <c r="M65" s="54">
        <f t="shared" si="26"/>
        <v>4.2178437059652891E-7</v>
      </c>
      <c r="N65" s="54">
        <f t="shared" si="33"/>
        <v>1.8999295972816621E-5</v>
      </c>
      <c r="O65" s="54">
        <f t="shared" si="34"/>
        <v>1.8999295972816621E-5</v>
      </c>
      <c r="P65" s="54">
        <f t="shared" si="35"/>
        <v>1.8999295972816621E-5</v>
      </c>
    </row>
    <row r="66" spans="1:16">
      <c r="A66" s="47" t="s">
        <v>107</v>
      </c>
      <c r="B66" s="50" t="s">
        <v>89</v>
      </c>
      <c r="C66" s="50" t="s">
        <v>98</v>
      </c>
      <c r="D66" s="54">
        <v>1.53E-6</v>
      </c>
      <c r="E66" s="54">
        <f t="shared" si="36"/>
        <v>2.3678865334610036E-6</v>
      </c>
      <c r="F66" s="54">
        <f t="shared" si="27"/>
        <v>1.5169273104984552E-6</v>
      </c>
      <c r="G66" s="54">
        <f t="shared" si="28"/>
        <v>4.3229507436541348E-8</v>
      </c>
      <c r="H66" s="54">
        <f t="shared" si="29"/>
        <v>9.7363755487705746E-7</v>
      </c>
      <c r="I66" s="54">
        <f t="shared" si="30"/>
        <v>9.7363755487705746E-7</v>
      </c>
      <c r="J66" s="54">
        <f t="shared" si="31"/>
        <v>9.7363755487705746E-7</v>
      </c>
      <c r="K66" s="54">
        <f t="shared" si="32"/>
        <v>2.8414638401532045E-4</v>
      </c>
      <c r="L66" s="54">
        <f t="shared" si="25"/>
        <v>1.8203127725981462E-5</v>
      </c>
      <c r="M66" s="54">
        <f t="shared" si="26"/>
        <v>1.0375081784769922E-6</v>
      </c>
      <c r="N66" s="54">
        <f t="shared" si="33"/>
        <v>4.6734602634098754E-5</v>
      </c>
      <c r="O66" s="54">
        <f t="shared" si="34"/>
        <v>4.6734602634098754E-5</v>
      </c>
      <c r="P66" s="54">
        <f t="shared" si="35"/>
        <v>4.6734602634098754E-5</v>
      </c>
    </row>
    <row r="67" spans="1:16" ht="21.95">
      <c r="A67" s="47" t="s">
        <v>108</v>
      </c>
      <c r="B67" s="50" t="s">
        <v>89</v>
      </c>
      <c r="C67" s="50" t="s">
        <v>98</v>
      </c>
      <c r="D67" s="54">
        <v>1.11E-6</v>
      </c>
      <c r="E67" s="54">
        <f t="shared" si="36"/>
        <v>1.7178784654521005E-6</v>
      </c>
      <c r="F67" s="54">
        <f t="shared" si="27"/>
        <v>1.1005158919302519E-6</v>
      </c>
      <c r="G67" s="54">
        <f t="shared" si="28"/>
        <v>3.1362583826510388E-8</v>
      </c>
      <c r="H67" s="54">
        <f t="shared" si="29"/>
        <v>7.0636450059708083E-7</v>
      </c>
      <c r="I67" s="54">
        <f t="shared" si="30"/>
        <v>7.0636450059708083E-7</v>
      </c>
      <c r="J67" s="54">
        <f t="shared" si="31"/>
        <v>7.0636450059708083E-7</v>
      </c>
      <c r="K67" s="54">
        <f t="shared" si="32"/>
        <v>2.0614541585425205E-4</v>
      </c>
      <c r="L67" s="54">
        <f t="shared" si="25"/>
        <v>1.3206190703163022E-5</v>
      </c>
      <c r="M67" s="54">
        <f t="shared" si="26"/>
        <v>7.5270201183624937E-7</v>
      </c>
      <c r="N67" s="54">
        <f t="shared" si="33"/>
        <v>3.390549602865988E-5</v>
      </c>
      <c r="O67" s="54">
        <f t="shared" si="34"/>
        <v>3.390549602865988E-5</v>
      </c>
      <c r="P67" s="54">
        <f t="shared" si="35"/>
        <v>3.390549602865988E-5</v>
      </c>
    </row>
    <row r="68" spans="1:16" ht="21.95">
      <c r="A68" s="47" t="s">
        <v>109</v>
      </c>
      <c r="B68" s="50" t="s">
        <v>89</v>
      </c>
      <c r="C68" s="50" t="s">
        <v>98</v>
      </c>
      <c r="D68" s="54">
        <v>2.1799999999999999E-7</v>
      </c>
      <c r="E68" s="54">
        <f t="shared" si="36"/>
        <v>3.3738514006176387E-7</v>
      </c>
      <c r="F68" s="54">
        <f t="shared" si="27"/>
        <v>2.1613735535206749E-7</v>
      </c>
      <c r="G68" s="54">
        <f t="shared" si="28"/>
        <v>6.1594984452065446E-9</v>
      </c>
      <c r="H68" s="54">
        <f t="shared" si="29"/>
        <v>1.3872744245960686E-7</v>
      </c>
      <c r="I68" s="54">
        <f t="shared" si="30"/>
        <v>1.3872744245960686E-7</v>
      </c>
      <c r="J68" s="54">
        <f t="shared" si="31"/>
        <v>1.3872744245960686E-7</v>
      </c>
      <c r="K68" s="54">
        <f t="shared" si="32"/>
        <v>4.0486216807411662E-5</v>
      </c>
      <c r="L68" s="54">
        <f t="shared" si="25"/>
        <v>2.5936482642248099E-6</v>
      </c>
      <c r="M68" s="54">
        <f t="shared" si="26"/>
        <v>1.4782796268495707E-7</v>
      </c>
      <c r="N68" s="54">
        <f t="shared" si="33"/>
        <v>6.6589172380611295E-6</v>
      </c>
      <c r="O68" s="54">
        <f t="shared" si="34"/>
        <v>6.6589172380611295E-6</v>
      </c>
      <c r="P68" s="54">
        <f t="shared" si="35"/>
        <v>6.6589172380611295E-6</v>
      </c>
    </row>
    <row r="69" spans="1:16">
      <c r="A69" s="47" t="s">
        <v>110</v>
      </c>
      <c r="B69" s="50" t="s">
        <v>89</v>
      </c>
      <c r="C69" s="50" t="s">
        <v>98</v>
      </c>
      <c r="D69" s="54">
        <v>2.5699999999999999E-7</v>
      </c>
      <c r="E69" s="54">
        <f t="shared" si="36"/>
        <v>3.9774303209116197E-7</v>
      </c>
      <c r="F69" s="54">
        <f t="shared" si="27"/>
        <v>2.5480412993340064E-7</v>
      </c>
      <c r="G69" s="54">
        <f t="shared" si="28"/>
        <v>7.2614270661379903E-9</v>
      </c>
      <c r="H69" s="54">
        <f t="shared" si="29"/>
        <v>1.6354565464274754E-7</v>
      </c>
      <c r="I69" s="54">
        <f t="shared" si="30"/>
        <v>1.6354565464274754E-7</v>
      </c>
      <c r="J69" s="54">
        <f t="shared" si="31"/>
        <v>1.6354565464274754E-7</v>
      </c>
      <c r="K69" s="54">
        <f t="shared" si="32"/>
        <v>4.7729163850939432E-5</v>
      </c>
      <c r="L69" s="54">
        <f t="shared" si="25"/>
        <v>3.0576495592008078E-6</v>
      </c>
      <c r="M69" s="54">
        <f t="shared" si="26"/>
        <v>1.7427424958731178E-7</v>
      </c>
      <c r="N69" s="54">
        <f t="shared" si="33"/>
        <v>7.8501914228518816E-6</v>
      </c>
      <c r="O69" s="54">
        <f t="shared" si="34"/>
        <v>7.8501914228518816E-6</v>
      </c>
      <c r="P69" s="54">
        <f t="shared" si="35"/>
        <v>7.8501914228518816E-6</v>
      </c>
    </row>
    <row r="70" spans="1:16" ht="21.95">
      <c r="A70" s="47" t="s">
        <v>111</v>
      </c>
      <c r="B70" s="50" t="s">
        <v>89</v>
      </c>
      <c r="C70" s="50" t="s">
        <v>98</v>
      </c>
      <c r="D70" s="54">
        <v>4.1399999999999997E-7</v>
      </c>
      <c r="E70" s="54">
        <f t="shared" si="36"/>
        <v>6.4072223846591857E-7</v>
      </c>
      <c r="F70" s="54">
        <f t="shared" si="27"/>
        <v>4.1046268401722905E-7</v>
      </c>
      <c r="G70" s="54">
        <f t="shared" si="28"/>
        <v>1.1697396129887658E-8</v>
      </c>
      <c r="H70" s="54">
        <f t="shared" si="29"/>
        <v>2.634548677902626E-7</v>
      </c>
      <c r="I70" s="54">
        <f t="shared" si="30"/>
        <v>2.634548677902626E-7</v>
      </c>
      <c r="J70" s="54">
        <f t="shared" si="31"/>
        <v>2.634548677902626E-7</v>
      </c>
      <c r="K70" s="54">
        <f t="shared" si="32"/>
        <v>7.6886668615910232E-5</v>
      </c>
      <c r="L70" s="54">
        <f t="shared" si="25"/>
        <v>4.9255522082067491E-6</v>
      </c>
      <c r="M70" s="54">
        <f t="shared" si="26"/>
        <v>2.8073750711730381E-7</v>
      </c>
      <c r="N70" s="54">
        <f t="shared" si="33"/>
        <v>1.2645833653932604E-5</v>
      </c>
      <c r="O70" s="54">
        <f t="shared" si="34"/>
        <v>1.2645833653932604E-5</v>
      </c>
      <c r="P70" s="54">
        <f t="shared" si="35"/>
        <v>1.2645833653932604E-5</v>
      </c>
    </row>
    <row r="71" spans="1:16" ht="21.95">
      <c r="A71" s="47" t="s">
        <v>112</v>
      </c>
      <c r="B71" s="50" t="s">
        <v>89</v>
      </c>
      <c r="C71" s="50" t="s">
        <v>98</v>
      </c>
      <c r="D71" s="54">
        <v>3.46E-7</v>
      </c>
      <c r="E71" s="54">
        <f t="shared" si="36"/>
        <v>5.3548283697876287E-7</v>
      </c>
      <c r="F71" s="54">
        <f t="shared" si="27"/>
        <v>3.4304369243951998E-7</v>
      </c>
      <c r="G71" s="54">
        <f t="shared" si="28"/>
        <v>9.776084688263599E-9</v>
      </c>
      <c r="H71" s="54">
        <f t="shared" si="29"/>
        <v>2.2018208757350449E-7</v>
      </c>
      <c r="I71" s="54">
        <f t="shared" si="30"/>
        <v>2.2018208757350449E-7</v>
      </c>
      <c r="J71" s="54">
        <f t="shared" si="31"/>
        <v>2.2018208757350449E-7</v>
      </c>
      <c r="K71" s="54">
        <f t="shared" si="32"/>
        <v>6.4257940437451537E-5</v>
      </c>
      <c r="L71" s="54">
        <f t="shared" si="25"/>
        <v>4.1165243092742399E-6</v>
      </c>
      <c r="M71" s="54">
        <f t="shared" si="26"/>
        <v>2.3462603251832639E-7</v>
      </c>
      <c r="N71" s="54">
        <f t="shared" si="33"/>
        <v>1.0568740203528216E-5</v>
      </c>
      <c r="O71" s="54">
        <f t="shared" si="34"/>
        <v>1.0568740203528216E-5</v>
      </c>
      <c r="P71" s="54">
        <f t="shared" si="35"/>
        <v>1.0568740203528216E-5</v>
      </c>
    </row>
    <row r="72" spans="1:16" ht="21.95">
      <c r="A72" s="47" t="s">
        <v>113</v>
      </c>
      <c r="B72" s="50" t="s">
        <v>89</v>
      </c>
      <c r="C72" s="50" t="s">
        <v>98</v>
      </c>
      <c r="D72" s="54">
        <v>5.5599999999999995E-7</v>
      </c>
      <c r="E72" s="54">
        <f t="shared" si="36"/>
        <v>8.6048687098321422E-7</v>
      </c>
      <c r="F72" s="54">
        <f t="shared" si="27"/>
        <v>5.5124940172362158E-7</v>
      </c>
      <c r="G72" s="54">
        <f t="shared" si="28"/>
        <v>1.5709546493279077E-8</v>
      </c>
      <c r="H72" s="54">
        <f t="shared" si="29"/>
        <v>3.5381861471349273E-7</v>
      </c>
      <c r="I72" s="54">
        <f t="shared" si="30"/>
        <v>3.5381861471349273E-7</v>
      </c>
      <c r="J72" s="54">
        <f t="shared" si="31"/>
        <v>3.5381861471349273E-7</v>
      </c>
      <c r="K72" s="54">
        <f t="shared" si="32"/>
        <v>1.032584245179857E-4</v>
      </c>
      <c r="L72" s="54">
        <f t="shared" si="25"/>
        <v>6.614992820683459E-6</v>
      </c>
      <c r="M72" s="54">
        <f t="shared" si="26"/>
        <v>3.7702911583869783E-7</v>
      </c>
      <c r="N72" s="54">
        <f t="shared" si="33"/>
        <v>1.698329350624765E-5</v>
      </c>
      <c r="O72" s="54">
        <f t="shared" si="34"/>
        <v>1.698329350624765E-5</v>
      </c>
      <c r="P72" s="54">
        <f t="shared" si="35"/>
        <v>1.698329350624765E-5</v>
      </c>
    </row>
    <row r="73" spans="1:16">
      <c r="A73" s="195" t="s">
        <v>114</v>
      </c>
      <c r="B73" s="50" t="s">
        <v>89</v>
      </c>
      <c r="C73" s="50" t="s">
        <v>98</v>
      </c>
      <c r="D73" s="54">
        <v>2.12E-4</v>
      </c>
      <c r="E73" s="54">
        <f t="shared" si="36"/>
        <v>3.2809931051877957E-4</v>
      </c>
      <c r="F73" s="54">
        <f t="shared" si="27"/>
        <v>2.1018862080109316E-4</v>
      </c>
      <c r="G73" s="54">
        <f t="shared" si="28"/>
        <v>5.9899709650632453E-6</v>
      </c>
      <c r="H73" s="54">
        <f t="shared" si="29"/>
        <v>1.3490925596989291E-4</v>
      </c>
      <c r="I73" s="54">
        <f t="shared" si="30"/>
        <v>1.3490925596989291E-4</v>
      </c>
      <c r="J73" s="54">
        <f t="shared" si="31"/>
        <v>1.3490925596989291E-4</v>
      </c>
      <c r="K73" s="54">
        <f t="shared" si="32"/>
        <v>3.9371917262253552E-2</v>
      </c>
      <c r="L73" s="54">
        <f t="shared" si="25"/>
        <v>2.5222634496131179E-3</v>
      </c>
      <c r="M73" s="54">
        <f t="shared" si="26"/>
        <v>1.4375930316151789E-4</v>
      </c>
      <c r="N73" s="54">
        <f t="shared" si="33"/>
        <v>6.4756442865548597E-3</v>
      </c>
      <c r="O73" s="54">
        <f t="shared" si="34"/>
        <v>6.4756442865548597E-3</v>
      </c>
      <c r="P73" s="54">
        <f t="shared" si="35"/>
        <v>6.4756442865548597E-3</v>
      </c>
    </row>
    <row r="74" spans="1:16">
      <c r="A74" s="196"/>
      <c r="B74" s="50"/>
      <c r="C74" s="50"/>
      <c r="D74" s="54">
        <v>4.6199999999999997E-8</v>
      </c>
      <c r="E74" s="54">
        <f t="shared" si="36"/>
        <v>7.1500887480979321E-8</v>
      </c>
      <c r="F74" s="54">
        <f t="shared" si="27"/>
        <v>4.5805256042502374E-8</v>
      </c>
      <c r="G74" s="54">
        <f t="shared" si="28"/>
        <v>1.3053615971034052E-9</v>
      </c>
      <c r="H74" s="54">
        <f t="shared" si="29"/>
        <v>2.9400035970797418E-8</v>
      </c>
      <c r="I74" s="54">
        <f t="shared" si="30"/>
        <v>2.9400035970797418E-8</v>
      </c>
      <c r="J74" s="54">
        <f t="shared" si="31"/>
        <v>2.9400035970797418E-8</v>
      </c>
      <c r="K74" s="54">
        <f t="shared" si="32"/>
        <v>8.5801064977175178E-6</v>
      </c>
      <c r="L74" s="54">
        <f t="shared" si="25"/>
        <v>5.4966307251002849E-7</v>
      </c>
      <c r="M74" s="54">
        <f t="shared" si="26"/>
        <v>3.1328678330481722E-8</v>
      </c>
      <c r="N74" s="54">
        <f t="shared" si="33"/>
        <v>1.4112017265982762E-6</v>
      </c>
      <c r="O74" s="54">
        <f t="shared" si="34"/>
        <v>1.4112017265982762E-6</v>
      </c>
      <c r="P74" s="54">
        <f t="shared" si="35"/>
        <v>1.4112017265982762E-6</v>
      </c>
    </row>
    <row r="75" spans="1:16">
      <c r="A75" s="196"/>
      <c r="B75" s="50"/>
      <c r="C75" s="50"/>
      <c r="D75" s="54">
        <v>5.1300000000000003E-9</v>
      </c>
      <c r="E75" s="54">
        <f t="shared" si="36"/>
        <v>7.9393842592516E-9</v>
      </c>
      <c r="F75" s="54">
        <f t="shared" si="27"/>
        <v>5.0861680410830565E-9</v>
      </c>
      <c r="G75" s="54">
        <f t="shared" si="28"/>
        <v>1.4494599552252099E-10</v>
      </c>
      <c r="H75" s="54">
        <f t="shared" si="29"/>
        <v>3.2645494487054281E-9</v>
      </c>
      <c r="I75" s="54">
        <f t="shared" si="30"/>
        <v>3.2645494487054281E-9</v>
      </c>
      <c r="J75" s="54">
        <f t="shared" si="31"/>
        <v>3.2645494487054281E-9</v>
      </c>
      <c r="K75" s="54">
        <f t="shared" si="32"/>
        <v>9.5272611111019196E-7</v>
      </c>
      <c r="L75" s="54">
        <f t="shared" si="25"/>
        <v>6.1034016492996675E-8</v>
      </c>
      <c r="M75" s="54">
        <f t="shared" si="26"/>
        <v>3.4787038925405038E-9</v>
      </c>
      <c r="N75" s="54">
        <f t="shared" si="33"/>
        <v>1.5669837353786054E-7</v>
      </c>
      <c r="O75" s="54">
        <f t="shared" si="34"/>
        <v>1.5669837353786054E-7</v>
      </c>
      <c r="P75" s="54">
        <f t="shared" si="35"/>
        <v>1.5669837353786054E-7</v>
      </c>
    </row>
    <row r="76" spans="1:16">
      <c r="A76" s="196"/>
      <c r="B76" s="50"/>
      <c r="C76" s="50"/>
      <c r="D76" s="54">
        <v>1.24E-5</v>
      </c>
      <c r="E76" s="54">
        <f t="shared" si="36"/>
        <v>1.9190714388834277E-5</v>
      </c>
      <c r="F76" s="54">
        <f t="shared" si="27"/>
        <v>1.2294051405346959E-5</v>
      </c>
      <c r="G76" s="54">
        <f t="shared" si="28"/>
        <v>3.5035679229615208E-7</v>
      </c>
      <c r="H76" s="54">
        <f t="shared" si="29"/>
        <v>7.8909187454088313E-6</v>
      </c>
      <c r="I76" s="54">
        <f t="shared" si="30"/>
        <v>7.8909187454088313E-6</v>
      </c>
      <c r="J76" s="54">
        <f t="shared" si="31"/>
        <v>7.8909187454088313E-6</v>
      </c>
      <c r="K76" s="54">
        <f t="shared" si="32"/>
        <v>2.3028857266601133E-3</v>
      </c>
      <c r="L76" s="54">
        <f t="shared" si="25"/>
        <v>1.475286168641635E-4</v>
      </c>
      <c r="M76" s="54">
        <f t="shared" si="26"/>
        <v>8.4085630151076507E-6</v>
      </c>
      <c r="N76" s="54">
        <f t="shared" si="33"/>
        <v>3.7876409977962387E-4</v>
      </c>
      <c r="O76" s="54">
        <f t="shared" si="34"/>
        <v>3.7876409977962387E-4</v>
      </c>
      <c r="P76" s="54">
        <f t="shared" si="35"/>
        <v>3.7876409977962387E-4</v>
      </c>
    </row>
    <row r="77" spans="1:16">
      <c r="A77" s="196"/>
      <c r="B77" s="50"/>
      <c r="C77" s="50"/>
      <c r="D77" s="54">
        <v>2.2400000000000002E-6</v>
      </c>
      <c r="E77" s="54">
        <f t="shared" si="36"/>
        <v>3.4667096960474823E-6</v>
      </c>
      <c r="F77" s="54">
        <f t="shared" si="27"/>
        <v>2.2208608990304186E-6</v>
      </c>
      <c r="G77" s="54">
        <f t="shared" si="28"/>
        <v>6.3290259253498452E-8</v>
      </c>
      <c r="H77" s="54">
        <f t="shared" si="29"/>
        <v>1.4254562894932083E-6</v>
      </c>
      <c r="I77" s="54">
        <f t="shared" si="30"/>
        <v>1.4254562894932083E-6</v>
      </c>
      <c r="J77" s="54">
        <f t="shared" si="31"/>
        <v>1.4254562894932083E-6</v>
      </c>
      <c r="K77" s="54">
        <f t="shared" si="32"/>
        <v>4.1600516352569786E-4</v>
      </c>
      <c r="L77" s="54">
        <f t="shared" si="25"/>
        <v>2.6650330788365023E-5</v>
      </c>
      <c r="M77" s="54">
        <f t="shared" si="26"/>
        <v>1.5189662220839628E-6</v>
      </c>
      <c r="N77" s="54">
        <f t="shared" si="33"/>
        <v>6.8421901895674003E-5</v>
      </c>
      <c r="O77" s="54">
        <f t="shared" si="34"/>
        <v>6.8421901895674003E-5</v>
      </c>
      <c r="P77" s="54">
        <f t="shared" si="35"/>
        <v>6.8421901895674003E-5</v>
      </c>
    </row>
    <row r="78" spans="1:16">
      <c r="A78" s="196"/>
      <c r="B78" s="50"/>
      <c r="C78" s="50"/>
      <c r="D78" s="54">
        <v>7.6899999999999996E-7</v>
      </c>
      <c r="E78" s="54">
        <f t="shared" si="36"/>
        <v>1.190133819759158E-6</v>
      </c>
      <c r="F78" s="54">
        <f t="shared" si="27"/>
        <v>7.6242947828321054E-7</v>
      </c>
      <c r="G78" s="54">
        <f t="shared" si="28"/>
        <v>2.1727772038366206E-8</v>
      </c>
      <c r="H78" s="54">
        <f t="shared" si="29"/>
        <v>4.8936423509833798E-7</v>
      </c>
      <c r="I78" s="54">
        <f t="shared" si="30"/>
        <v>4.8936423509833798E-7</v>
      </c>
      <c r="J78" s="54">
        <f t="shared" si="31"/>
        <v>4.8936423509833798E-7</v>
      </c>
      <c r="K78" s="54">
        <f t="shared" si="32"/>
        <v>1.4281605837109895E-4</v>
      </c>
      <c r="L78" s="54">
        <f t="shared" si="25"/>
        <v>9.149153739398526E-6</v>
      </c>
      <c r="M78" s="54">
        <f t="shared" si="26"/>
        <v>5.214665289207889E-7</v>
      </c>
      <c r="N78" s="54">
        <f t="shared" si="33"/>
        <v>2.3489483284720225E-5</v>
      </c>
      <c r="O78" s="54">
        <f t="shared" si="34"/>
        <v>2.3489483284720225E-5</v>
      </c>
      <c r="P78" s="54">
        <f t="shared" si="35"/>
        <v>2.3489483284720225E-5</v>
      </c>
    </row>
    <row r="79" spans="1:16">
      <c r="A79" s="196"/>
      <c r="B79" s="50"/>
      <c r="C79" s="50"/>
      <c r="D79" s="54">
        <v>1.03E-8</v>
      </c>
      <c r="E79" s="54">
        <f t="shared" si="36"/>
        <v>1.5940674048789762E-8</v>
      </c>
      <c r="F79" s="54">
        <f t="shared" si="27"/>
        <v>1.0211994312505941E-8</v>
      </c>
      <c r="G79" s="54">
        <f t="shared" si="28"/>
        <v>2.9102217424599728E-10</v>
      </c>
      <c r="H79" s="54">
        <f t="shared" si="29"/>
        <v>6.5545534740089484E-9</v>
      </c>
      <c r="I79" s="54">
        <f t="shared" si="30"/>
        <v>6.5545534740089484E-9</v>
      </c>
      <c r="J79" s="54">
        <f t="shared" si="31"/>
        <v>6.5545534740089484E-9</v>
      </c>
      <c r="K79" s="54">
        <f t="shared" si="32"/>
        <v>1.9128808858547714E-6</v>
      </c>
      <c r="L79" s="54">
        <f t="shared" si="25"/>
        <v>1.2254393175007129E-7</v>
      </c>
      <c r="M79" s="54">
        <f t="shared" si="26"/>
        <v>6.9845321819039343E-9</v>
      </c>
      <c r="N79" s="54">
        <f t="shared" si="33"/>
        <v>3.1461856675242951E-7</v>
      </c>
      <c r="O79" s="54">
        <f t="shared" si="34"/>
        <v>3.1461856675242951E-7</v>
      </c>
      <c r="P79" s="54">
        <f t="shared" si="35"/>
        <v>3.1461856675242951E-7</v>
      </c>
    </row>
    <row r="80" spans="1:16">
      <c r="A80" s="196"/>
      <c r="B80" s="50"/>
      <c r="C80" s="50"/>
      <c r="D80" s="54">
        <v>1.48E-6</v>
      </c>
      <c r="E80" s="54">
        <f t="shared" si="36"/>
        <v>2.2905046206028009E-6</v>
      </c>
      <c r="F80" s="54">
        <f t="shared" si="27"/>
        <v>1.4673545225736693E-6</v>
      </c>
      <c r="G80" s="54">
        <f t="shared" si="28"/>
        <v>4.1816778435347186E-8</v>
      </c>
      <c r="H80" s="54">
        <f t="shared" si="29"/>
        <v>9.4181933412944111E-7</v>
      </c>
      <c r="I80" s="54">
        <f t="shared" si="30"/>
        <v>9.4181933412944111E-7</v>
      </c>
      <c r="J80" s="54">
        <f t="shared" si="31"/>
        <v>9.4181933412944111E-7</v>
      </c>
      <c r="K80" s="54">
        <f t="shared" si="32"/>
        <v>2.7486055447233614E-4</v>
      </c>
      <c r="L80" s="54">
        <f t="shared" si="25"/>
        <v>1.760825427088403E-5</v>
      </c>
      <c r="M80" s="54">
        <f t="shared" si="26"/>
        <v>1.0036026824483324E-6</v>
      </c>
      <c r="N80" s="54">
        <f t="shared" si="33"/>
        <v>4.5207328038213173E-5</v>
      </c>
      <c r="O80" s="54">
        <f t="shared" si="34"/>
        <v>4.5207328038213173E-5</v>
      </c>
      <c r="P80" s="54">
        <f t="shared" si="35"/>
        <v>4.5207328038213173E-5</v>
      </c>
    </row>
    <row r="81" spans="1:16">
      <c r="A81" s="196"/>
      <c r="B81" s="50"/>
      <c r="C81" s="50"/>
      <c r="D81" s="54">
        <v>2.5600000000000002E-7</v>
      </c>
      <c r="E81" s="54">
        <f t="shared" si="36"/>
        <v>3.9619539383399799E-7</v>
      </c>
      <c r="F81" s="54">
        <f t="shared" si="27"/>
        <v>2.5381267417490498E-7</v>
      </c>
      <c r="G81" s="54">
        <f t="shared" si="28"/>
        <v>7.233172486114108E-9</v>
      </c>
      <c r="H81" s="54">
        <f t="shared" si="29"/>
        <v>1.6290929022779523E-7</v>
      </c>
      <c r="I81" s="54">
        <f t="shared" si="30"/>
        <v>1.6290929022779523E-7</v>
      </c>
      <c r="J81" s="54">
        <f t="shared" si="31"/>
        <v>1.6290929022779523E-7</v>
      </c>
      <c r="K81" s="54">
        <f t="shared" si="32"/>
        <v>4.7543447260079764E-5</v>
      </c>
      <c r="L81" s="54">
        <f t="shared" si="25"/>
        <v>3.0457520900988599E-6</v>
      </c>
      <c r="M81" s="54">
        <f t="shared" si="26"/>
        <v>1.7359613966673859E-7</v>
      </c>
      <c r="N81" s="54">
        <f t="shared" si="33"/>
        <v>7.8196459309341715E-6</v>
      </c>
      <c r="O81" s="54">
        <f t="shared" si="34"/>
        <v>7.8196459309341715E-6</v>
      </c>
      <c r="P81" s="54">
        <f t="shared" si="35"/>
        <v>7.8196459309341715E-6</v>
      </c>
    </row>
    <row r="82" spans="1:16">
      <c r="A82" s="55" t="s">
        <v>115</v>
      </c>
      <c r="B82" s="48"/>
      <c r="C82" s="48"/>
      <c r="D82" s="48"/>
      <c r="E82" s="48"/>
      <c r="F82" s="48"/>
      <c r="G82" s="48"/>
      <c r="H82" s="48"/>
      <c r="I82" s="48"/>
      <c r="J82" s="48"/>
      <c r="K82" s="54">
        <f>SUM(K50:K81)</f>
        <v>0.85294423245796092</v>
      </c>
      <c r="L82" s="54">
        <f t="shared" ref="L82:M82" si="37">SUM(L50:L81)</f>
        <v>5.4641739891838119E-2</v>
      </c>
      <c r="M82" s="54">
        <f t="shared" si="37"/>
        <v>3.114368743514266E-3</v>
      </c>
      <c r="N82" s="54">
        <f>SUM(N50:N81)</f>
        <v>0.1402868803384805</v>
      </c>
      <c r="O82" s="54">
        <f t="shared" ref="O82" si="38">SUM(O50:O81)</f>
        <v>0.1402868803384805</v>
      </c>
      <c r="P82" s="54">
        <f>SUM(P50:P81)</f>
        <v>0.1402868803384805</v>
      </c>
    </row>
    <row r="84" spans="1:16" ht="15.6" customHeight="1">
      <c r="A84" s="197" t="s">
        <v>116</v>
      </c>
      <c r="B84" s="197"/>
      <c r="C84" s="197"/>
      <c r="D84" s="197"/>
      <c r="E84" s="197"/>
      <c r="F84" s="197"/>
      <c r="G84" s="197"/>
      <c r="H84" s="197"/>
      <c r="I84" s="197"/>
      <c r="J84" s="197"/>
      <c r="K84" s="197"/>
    </row>
    <row r="85" spans="1:16" ht="15.6" customHeight="1">
      <c r="A85" s="197"/>
      <c r="B85" s="197"/>
      <c r="C85" s="197"/>
      <c r="D85" s="197"/>
      <c r="E85" s="197"/>
      <c r="F85" s="197"/>
      <c r="G85" s="197"/>
      <c r="H85" s="197"/>
      <c r="I85" s="197"/>
      <c r="J85" s="197"/>
      <c r="K85" s="197"/>
    </row>
    <row r="86" spans="1:16" ht="15.6" customHeight="1">
      <c r="A86" s="197"/>
      <c r="B86" s="197"/>
      <c r="C86" s="197"/>
      <c r="D86" s="197"/>
      <c r="E86" s="197"/>
      <c r="F86" s="197"/>
      <c r="G86" s="197"/>
      <c r="H86" s="197"/>
      <c r="I86" s="197"/>
      <c r="J86" s="197"/>
      <c r="K86" s="197"/>
    </row>
    <row r="87" spans="1:16">
      <c r="A87" s="197"/>
      <c r="B87" s="197"/>
      <c r="C87" s="197"/>
      <c r="D87" s="197"/>
      <c r="E87" s="197"/>
      <c r="F87" s="197"/>
      <c r="G87" s="197"/>
      <c r="H87" s="197"/>
      <c r="I87" s="197"/>
      <c r="J87" s="197"/>
      <c r="K87" s="197"/>
    </row>
    <row r="88" spans="1:16">
      <c r="A88" s="197"/>
      <c r="B88" s="197"/>
      <c r="C88" s="197"/>
      <c r="D88" s="197"/>
      <c r="E88" s="197"/>
      <c r="F88" s="197"/>
      <c r="G88" s="197"/>
      <c r="H88" s="197"/>
      <c r="I88" s="197"/>
      <c r="J88" s="197"/>
      <c r="K88" s="197"/>
    </row>
    <row r="89" spans="1:16">
      <c r="A89" s="197"/>
      <c r="B89" s="197"/>
      <c r="C89" s="197"/>
      <c r="D89" s="197"/>
      <c r="E89" s="197"/>
      <c r="F89" s="197"/>
      <c r="G89" s="197"/>
      <c r="H89" s="197"/>
      <c r="I89" s="197"/>
      <c r="J89" s="197"/>
      <c r="K89" s="197"/>
    </row>
    <row r="90" spans="1:16">
      <c r="A90" s="197"/>
      <c r="B90" s="197"/>
      <c r="C90" s="197"/>
      <c r="D90" s="197"/>
      <c r="E90" s="197"/>
      <c r="F90" s="197"/>
      <c r="G90" s="197"/>
      <c r="H90" s="197"/>
      <c r="I90" s="197"/>
      <c r="J90" s="197"/>
      <c r="K90" s="197"/>
    </row>
    <row r="91" spans="1:16" ht="30.6" customHeight="1">
      <c r="A91" s="197"/>
      <c r="B91" s="197"/>
      <c r="C91" s="197"/>
      <c r="D91" s="197"/>
      <c r="E91" s="197"/>
      <c r="F91" s="197"/>
      <c r="G91" s="197"/>
      <c r="H91" s="197"/>
      <c r="I91" s="197"/>
      <c r="J91" s="197"/>
      <c r="K91" s="197"/>
    </row>
  </sheetData>
  <sheetProtection sheet="1" objects="1" scenarios="1"/>
  <mergeCells count="12">
    <mergeCell ref="A1:A2"/>
    <mergeCell ref="A73:A81"/>
    <mergeCell ref="A84:K91"/>
    <mergeCell ref="A46:X46"/>
    <mergeCell ref="A19:Z19"/>
    <mergeCell ref="A25:X26"/>
    <mergeCell ref="A9:X9"/>
    <mergeCell ref="T10:U10"/>
    <mergeCell ref="B18:P18"/>
    <mergeCell ref="A37:A40"/>
    <mergeCell ref="B1:L1"/>
    <mergeCell ref="B3:L3"/>
  </mergeCells>
  <hyperlinks>
    <hyperlink ref="A13" r:id="rId1" xr:uid="{544A4446-028F-42FE-ACBE-0FC24354CD6F}"/>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817B4-6100-4E37-B835-DEF156A80501}">
  <dimension ref="A1:N35"/>
  <sheetViews>
    <sheetView topLeftCell="A14" zoomScale="120" zoomScaleNormal="120" workbookViewId="0">
      <selection activeCell="B33" sqref="B33"/>
    </sheetView>
  </sheetViews>
  <sheetFormatPr defaultRowHeight="12.95"/>
  <cols>
    <col min="1" max="1" width="17.33203125" customWidth="1"/>
    <col min="2" max="2" width="13" customWidth="1"/>
    <col min="3" max="4" width="9.33203125" customWidth="1"/>
    <col min="5" max="5" width="14.1640625" bestFit="1" customWidth="1"/>
    <col min="6" max="6" width="10.83203125" customWidth="1"/>
    <col min="7" max="7" width="10" customWidth="1"/>
    <col min="8" max="9" width="8.1640625" customWidth="1"/>
    <col min="10" max="10" width="7" customWidth="1"/>
    <col min="11" max="11" width="10.33203125" customWidth="1"/>
    <col min="12" max="12" width="7.1640625" customWidth="1"/>
    <col min="13" max="13" width="6.33203125" customWidth="1"/>
    <col min="14" max="14" width="14" customWidth="1"/>
  </cols>
  <sheetData>
    <row r="1" spans="1:14" s="1" customFormat="1" ht="12.95" customHeight="1">
      <c r="A1" s="212" t="s">
        <v>117</v>
      </c>
      <c r="B1" s="83"/>
      <c r="C1" s="84" t="s">
        <v>0</v>
      </c>
      <c r="D1" s="85"/>
      <c r="E1" s="86"/>
    </row>
    <row r="2" spans="1:14" s="1" customFormat="1">
      <c r="A2" s="194"/>
      <c r="B2" s="82" t="s">
        <v>8</v>
      </c>
      <c r="C2" s="82" t="s">
        <v>9</v>
      </c>
      <c r="D2" s="82" t="s">
        <v>10</v>
      </c>
      <c r="E2" s="82" t="s">
        <v>11</v>
      </c>
    </row>
    <row r="3" spans="1:14" s="1" customFormat="1" ht="12.95" customHeight="1">
      <c r="A3" s="40" t="s">
        <v>12</v>
      </c>
      <c r="B3" s="40"/>
      <c r="C3" s="40"/>
      <c r="D3" s="40"/>
      <c r="E3" s="40"/>
      <c r="G3" s="1">
        <v>1197</v>
      </c>
      <c r="J3"/>
    </row>
    <row r="4" spans="1:14" s="1" customFormat="1" ht="12.95" customHeight="1">
      <c r="A4" s="28" t="s">
        <v>118</v>
      </c>
      <c r="B4" s="87">
        <f>CONVERT(K11*365,"kg","ton")</f>
        <v>70.631423980963348</v>
      </c>
      <c r="C4" s="87">
        <f>CONVERT(L11*365,"kg","ton")</f>
        <v>3.0175772136555117E-3</v>
      </c>
      <c r="D4" s="87">
        <f>CONVERT(M11*365,"kg","ton")</f>
        <v>6.0351544273110232E-4</v>
      </c>
      <c r="E4" s="87">
        <f>CONVERT(N11*365,"kg","ton")</f>
        <v>70.88671101323861</v>
      </c>
      <c r="J4"/>
    </row>
    <row r="5" spans="1:14" s="1" customFormat="1" ht="23.1" customHeight="1">
      <c r="A5" s="28" t="s">
        <v>119</v>
      </c>
      <c r="B5" s="87">
        <f>CONVERT((K12+K13)*365,"kg","ton")</f>
        <v>1193.5160020438616</v>
      </c>
      <c r="C5" s="87">
        <f>CONVERT((L12+L13)*365,"kg","ton")</f>
        <v>4.8595063448708377E-2</v>
      </c>
      <c r="D5" s="87">
        <f>CONVERT((M12+M13)*365,"kg","ton")</f>
        <v>9.7190126897416743E-3</v>
      </c>
      <c r="E5" s="87">
        <f>CONVERT((N12+N13)*365,"kg","ton")</f>
        <v>1197.6271444116223</v>
      </c>
      <c r="J5"/>
    </row>
    <row r="6" spans="1:14" s="1" customFormat="1" ht="21.6" customHeight="1">
      <c r="A6" s="42" t="s">
        <v>15</v>
      </c>
      <c r="B6" s="81">
        <f>SUM(B4:B5)</f>
        <v>1264.1474260248249</v>
      </c>
      <c r="C6" s="88">
        <f t="shared" ref="C6:E6" si="0">SUM(C4:C5)</f>
        <v>5.1612640662363887E-2</v>
      </c>
      <c r="D6" s="88">
        <f t="shared" si="0"/>
        <v>1.0322528132472777E-2</v>
      </c>
      <c r="E6" s="81">
        <f t="shared" si="0"/>
        <v>1268.513855424861</v>
      </c>
      <c r="J6"/>
    </row>
    <row r="7" spans="1:14" s="1" customFormat="1"/>
    <row r="8" spans="1:14">
      <c r="A8" s="201" t="s">
        <v>120</v>
      </c>
      <c r="B8" s="201"/>
      <c r="C8" s="201"/>
      <c r="D8" s="201"/>
      <c r="E8" s="201"/>
      <c r="F8" s="201"/>
      <c r="G8" s="201"/>
      <c r="H8" s="201"/>
      <c r="I8" s="201"/>
      <c r="J8" s="201"/>
      <c r="K8" s="201"/>
      <c r="L8" s="201"/>
      <c r="M8" s="201"/>
      <c r="N8" s="23"/>
    </row>
    <row r="9" spans="1:14">
      <c r="A9" s="24"/>
      <c r="B9" s="24"/>
      <c r="C9" s="24"/>
      <c r="D9" s="24"/>
      <c r="E9" s="24"/>
      <c r="F9" s="24"/>
      <c r="G9" s="24"/>
      <c r="H9" s="56" t="s">
        <v>17</v>
      </c>
      <c r="I9" s="56"/>
      <c r="J9" s="24"/>
      <c r="K9" s="24"/>
      <c r="L9" s="24"/>
      <c r="M9" s="24"/>
      <c r="N9" s="23"/>
    </row>
    <row r="10" spans="1:14" ht="42">
      <c r="A10" s="25" t="s">
        <v>18</v>
      </c>
      <c r="B10" s="26" t="s">
        <v>121</v>
      </c>
      <c r="C10" s="26" t="s">
        <v>122</v>
      </c>
      <c r="D10" s="26" t="s">
        <v>123</v>
      </c>
      <c r="E10" s="26" t="s">
        <v>124</v>
      </c>
      <c r="F10" s="26" t="s">
        <v>125</v>
      </c>
      <c r="G10" s="26" t="s">
        <v>126</v>
      </c>
      <c r="H10" s="26" t="s">
        <v>127</v>
      </c>
      <c r="I10" s="26" t="s">
        <v>128</v>
      </c>
      <c r="J10" s="26" t="s">
        <v>32</v>
      </c>
      <c r="K10" s="26" t="s">
        <v>129</v>
      </c>
      <c r="L10" s="26" t="s">
        <v>130</v>
      </c>
      <c r="M10" s="26" t="s">
        <v>131</v>
      </c>
      <c r="N10" s="26" t="s">
        <v>132</v>
      </c>
    </row>
    <row r="11" spans="1:14">
      <c r="A11" s="28" t="s">
        <v>118</v>
      </c>
      <c r="B11" s="29" t="s">
        <v>133</v>
      </c>
      <c r="C11" s="30">
        <v>20</v>
      </c>
      <c r="D11" s="31">
        <v>100</v>
      </c>
      <c r="E11" s="170">
        <f>D11/C11</f>
        <v>5</v>
      </c>
      <c r="F11" s="77">
        <f>IF($B11="Gasoline",B$29,IF($B11="Diesel",B$30,""))</f>
        <v>0.125</v>
      </c>
      <c r="G11" s="31">
        <f t="shared" ref="G11:I11" si="1">IF($B11="Gasoline",C$29,IF($B11="Diesel",C$30,""))</f>
        <v>70.22</v>
      </c>
      <c r="H11" s="77">
        <f t="shared" si="1"/>
        <v>3.0000000000000001E-3</v>
      </c>
      <c r="I11" s="32">
        <f t="shared" si="1"/>
        <v>5.9999999999999995E-4</v>
      </c>
      <c r="J11" s="30">
        <v>4</v>
      </c>
      <c r="K11" s="31">
        <f>IFERROR(($E11*$F11*G11)*$J11,0)</f>
        <v>175.55</v>
      </c>
      <c r="L11" s="77">
        <f t="shared" ref="L11:M13" si="2">IFERROR(($E11*$F11*H11)*$J11,0)</f>
        <v>7.4999999999999997E-3</v>
      </c>
      <c r="M11" s="77">
        <f t="shared" si="2"/>
        <v>1.4999999999999998E-3</v>
      </c>
      <c r="N11" s="31">
        <f>$K11*$B$33+$L11*$B$34+$M11*$B$35</f>
        <v>176.18450000000001</v>
      </c>
    </row>
    <row r="12" spans="1:14" ht="20.100000000000001">
      <c r="A12" s="28" t="s">
        <v>134</v>
      </c>
      <c r="B12" s="29" t="s">
        <v>133</v>
      </c>
      <c r="C12" s="30" t="s">
        <v>135</v>
      </c>
      <c r="D12" s="31" t="s">
        <v>135</v>
      </c>
      <c r="E12" s="170">
        <v>3</v>
      </c>
      <c r="F12" s="77">
        <f t="shared" ref="F12:F13" si="3">IF($B12="Gasoline",B$29,IF($B12="Diesel",B$30,""))</f>
        <v>0.125</v>
      </c>
      <c r="G12" s="31">
        <f t="shared" ref="G12:G13" si="4">IF($B12="Gasoline",C$29,IF($B12="Diesel",C$30,""))</f>
        <v>70.22</v>
      </c>
      <c r="H12" s="77">
        <f t="shared" ref="H12:H13" si="5">IF($B12="Gasoline",D$29,IF($B12="Diesel",D$30,""))</f>
        <v>3.0000000000000001E-3</v>
      </c>
      <c r="I12" s="32">
        <f t="shared" ref="I12:I13" si="6">IF($B12="Gasoline",E$29,IF($B12="Diesel",E$30,""))</f>
        <v>5.9999999999999995E-4</v>
      </c>
      <c r="J12" s="30">
        <v>8</v>
      </c>
      <c r="K12" s="31">
        <f t="shared" ref="K12:K13" si="7">IFERROR(($E12*$F12*G12)*$J12,0)</f>
        <v>210.66</v>
      </c>
      <c r="L12" s="77">
        <f t="shared" si="2"/>
        <v>9.0000000000000011E-3</v>
      </c>
      <c r="M12" s="77">
        <f t="shared" si="2"/>
        <v>1.8E-3</v>
      </c>
      <c r="N12" s="31">
        <f t="shared" ref="N12:N13" si="8">$K12*$B$33+$L12*$B$34+$M12*$B$35</f>
        <v>211.42139999999998</v>
      </c>
    </row>
    <row r="13" spans="1:14">
      <c r="A13" s="28" t="s">
        <v>136</v>
      </c>
      <c r="B13" s="29" t="s">
        <v>45</v>
      </c>
      <c r="C13" s="30" t="s">
        <v>135</v>
      </c>
      <c r="D13" s="31" t="s">
        <v>135</v>
      </c>
      <c r="E13" s="170">
        <v>90</v>
      </c>
      <c r="F13" s="77">
        <f t="shared" si="3"/>
        <v>0.13800000000000001</v>
      </c>
      <c r="G13" s="31">
        <f t="shared" si="4"/>
        <v>73.959999999999994</v>
      </c>
      <c r="H13" s="77">
        <f t="shared" si="5"/>
        <v>3.0000000000000001E-3</v>
      </c>
      <c r="I13" s="32">
        <f t="shared" si="6"/>
        <v>5.9999999999999995E-4</v>
      </c>
      <c r="J13" s="30">
        <v>3</v>
      </c>
      <c r="K13" s="31">
        <f t="shared" si="7"/>
        <v>2755.7496000000001</v>
      </c>
      <c r="L13" s="77">
        <f t="shared" si="2"/>
        <v>0.11178000000000002</v>
      </c>
      <c r="M13" s="77">
        <f t="shared" si="2"/>
        <v>2.2356000000000001E-2</v>
      </c>
      <c r="N13" s="31">
        <f t="shared" si="8"/>
        <v>2765.2061880000001</v>
      </c>
    </row>
    <row r="14" spans="1:14">
      <c r="A14" s="28"/>
      <c r="B14" s="29"/>
      <c r="C14" s="30"/>
      <c r="D14" s="31"/>
      <c r="E14" s="32"/>
      <c r="F14" s="77" t="str">
        <f t="shared" ref="F14:F15" si="9">IF($B14="Gasoline",B32,IF($B14="Diesel",B33,""))</f>
        <v/>
      </c>
      <c r="G14" s="31" t="str">
        <f t="shared" ref="G14:G15" si="10">IF($B14="Gasoline",C32,IF($B14="Diesel",C33,""))</f>
        <v/>
      </c>
      <c r="H14" s="77" t="str">
        <f t="shared" ref="H14:H15" si="11">IF($B14="Gasoline",D32,IF($B14="Diesel",D33,""))</f>
        <v/>
      </c>
      <c r="I14" s="32" t="str">
        <f t="shared" ref="I14:I15" si="12">IF($B14="Gasoline",E32,IF($B14="Diesel",E33,""))</f>
        <v/>
      </c>
      <c r="J14" s="30"/>
      <c r="K14" s="31"/>
      <c r="L14" s="77"/>
      <c r="M14" s="77"/>
      <c r="N14" s="31"/>
    </row>
    <row r="15" spans="1:14">
      <c r="A15" s="28"/>
      <c r="B15" s="29"/>
      <c r="C15" s="30"/>
      <c r="D15" s="31"/>
      <c r="E15" s="32"/>
      <c r="F15" s="77" t="str">
        <f t="shared" si="9"/>
        <v/>
      </c>
      <c r="G15" s="31" t="str">
        <f t="shared" si="10"/>
        <v/>
      </c>
      <c r="H15" s="77" t="str">
        <f t="shared" si="11"/>
        <v/>
      </c>
      <c r="I15" s="32" t="str">
        <f t="shared" si="12"/>
        <v/>
      </c>
      <c r="J15" s="30"/>
      <c r="K15" s="31"/>
      <c r="L15" s="77"/>
      <c r="M15" s="77"/>
      <c r="N15" s="31"/>
    </row>
    <row r="16" spans="1:14">
      <c r="A16" s="33" t="s">
        <v>15</v>
      </c>
      <c r="B16" s="80"/>
      <c r="C16" s="80"/>
      <c r="D16" s="80"/>
      <c r="E16" s="80"/>
      <c r="F16" s="80"/>
      <c r="G16" s="80"/>
      <c r="H16" s="80"/>
      <c r="I16" s="80"/>
      <c r="J16" s="80"/>
      <c r="K16" s="89">
        <f>SUM(K11:K15)</f>
        <v>3141.9596000000001</v>
      </c>
      <c r="L16" s="35">
        <f t="shared" ref="L16:N16" si="13">SUM(L11:L15)</f>
        <v>0.12828000000000001</v>
      </c>
      <c r="M16" s="34">
        <f t="shared" si="13"/>
        <v>2.5656000000000002E-2</v>
      </c>
      <c r="N16" s="34">
        <f t="shared" si="13"/>
        <v>3152.8120880000001</v>
      </c>
    </row>
    <row r="17" spans="1:14">
      <c r="A17" s="199"/>
      <c r="B17" s="199"/>
      <c r="C17" s="199"/>
      <c r="D17" s="199"/>
      <c r="E17" s="199"/>
      <c r="F17" s="199"/>
      <c r="G17" s="199"/>
      <c r="H17" s="199"/>
      <c r="I17" s="199"/>
      <c r="J17" s="199"/>
      <c r="K17" s="199"/>
      <c r="L17" s="199"/>
      <c r="M17" s="199"/>
      <c r="N17" s="199"/>
    </row>
    <row r="18" spans="1:14">
      <c r="A18" s="37" t="s">
        <v>137</v>
      </c>
      <c r="B18" s="36"/>
      <c r="C18" s="36"/>
      <c r="D18" s="36"/>
      <c r="E18" s="36"/>
      <c r="F18" s="36"/>
      <c r="G18" s="36"/>
      <c r="H18" s="36"/>
      <c r="I18" s="36"/>
      <c r="J18" s="36"/>
      <c r="K18" s="36"/>
      <c r="L18" s="36"/>
      <c r="M18" s="36"/>
      <c r="N18" s="36"/>
    </row>
    <row r="19" spans="1:14">
      <c r="A19" s="38" t="s">
        <v>138</v>
      </c>
      <c r="B19" s="36"/>
      <c r="C19" s="36"/>
      <c r="D19" s="36"/>
      <c r="E19" s="36"/>
      <c r="F19" s="36"/>
      <c r="G19" s="36"/>
      <c r="H19" s="36"/>
      <c r="I19" s="36"/>
      <c r="J19" s="36"/>
      <c r="K19" s="36"/>
      <c r="L19" s="36"/>
      <c r="M19" s="36"/>
      <c r="N19" s="36"/>
    </row>
    <row r="20" spans="1:14">
      <c r="A20" s="38" t="s">
        <v>53</v>
      </c>
      <c r="B20" s="36"/>
      <c r="C20" s="36"/>
      <c r="D20" s="36"/>
      <c r="E20" s="36"/>
      <c r="F20" s="36"/>
      <c r="G20" s="36"/>
      <c r="H20" s="36"/>
      <c r="I20" s="36"/>
      <c r="J20" s="36"/>
      <c r="K20" s="36"/>
      <c r="L20" s="36"/>
      <c r="M20" s="36"/>
      <c r="N20" s="36"/>
    </row>
    <row r="21" spans="1:14">
      <c r="A21" s="38" t="s">
        <v>139</v>
      </c>
      <c r="B21" s="36"/>
      <c r="C21" s="36"/>
      <c r="D21" s="36"/>
      <c r="E21" s="36"/>
      <c r="F21" s="36"/>
      <c r="G21" s="36"/>
      <c r="H21" s="36"/>
      <c r="I21" s="36"/>
      <c r="J21" s="36"/>
      <c r="K21" s="36"/>
      <c r="L21" s="36"/>
      <c r="M21" s="36"/>
      <c r="N21" s="36"/>
    </row>
    <row r="22" spans="1:14">
      <c r="A22" s="38" t="s">
        <v>140</v>
      </c>
      <c r="B22" s="36"/>
      <c r="C22" s="36"/>
      <c r="D22" s="36"/>
      <c r="E22" s="36"/>
      <c r="F22" s="36"/>
      <c r="G22" s="36"/>
      <c r="H22" s="36"/>
      <c r="I22" s="36"/>
      <c r="J22" s="36"/>
      <c r="K22" s="36"/>
      <c r="L22" s="36"/>
      <c r="M22" s="36"/>
      <c r="N22" s="36"/>
    </row>
    <row r="23" spans="1:14" ht="12.95" customHeight="1">
      <c r="A23" s="38" t="s">
        <v>141</v>
      </c>
      <c r="B23" s="78"/>
      <c r="C23" s="78"/>
      <c r="D23" s="78"/>
      <c r="E23" s="78"/>
      <c r="F23" s="78"/>
      <c r="G23" s="78"/>
      <c r="H23" s="78"/>
      <c r="I23" s="78"/>
      <c r="J23" s="78"/>
      <c r="K23" s="78"/>
      <c r="L23" s="78"/>
      <c r="M23" s="78"/>
      <c r="N23" s="36"/>
    </row>
    <row r="24" spans="1:14">
      <c r="A24" s="78" t="s">
        <v>56</v>
      </c>
      <c r="B24" s="78"/>
      <c r="C24" s="78"/>
      <c r="D24" s="78"/>
      <c r="E24" s="78"/>
      <c r="F24" s="78"/>
      <c r="G24" s="78"/>
      <c r="H24" s="78"/>
      <c r="I24" s="78"/>
      <c r="J24" s="78"/>
      <c r="K24" s="78"/>
      <c r="L24" s="78"/>
      <c r="M24" s="78"/>
      <c r="N24" s="36"/>
    </row>
    <row r="25" spans="1:14">
      <c r="A25" s="1"/>
      <c r="B25" s="1"/>
      <c r="C25" s="1"/>
      <c r="D25" s="1"/>
      <c r="E25" s="1"/>
      <c r="F25" s="1"/>
      <c r="G25" s="1"/>
      <c r="H25" s="1"/>
      <c r="I25" s="1"/>
      <c r="J25" s="1"/>
      <c r="K25" s="1"/>
      <c r="L25" s="1"/>
      <c r="M25" s="1"/>
      <c r="N25" s="1"/>
    </row>
    <row r="26" spans="1:14">
      <c r="A26" s="38" t="s">
        <v>142</v>
      </c>
    </row>
    <row r="27" spans="1:14">
      <c r="A27" s="38" t="s">
        <v>143</v>
      </c>
      <c r="B27" t="s">
        <v>144</v>
      </c>
      <c r="C27" t="s">
        <v>126</v>
      </c>
      <c r="D27" t="s">
        <v>127</v>
      </c>
      <c r="E27" t="s">
        <v>128</v>
      </c>
    </row>
    <row r="28" spans="1:14">
      <c r="B28" s="79" t="s">
        <v>145</v>
      </c>
      <c r="C28" s="79" t="s">
        <v>146</v>
      </c>
      <c r="D28" s="79" t="s">
        <v>146</v>
      </c>
      <c r="E28" s="79" t="s">
        <v>146</v>
      </c>
    </row>
    <row r="29" spans="1:14">
      <c r="A29" s="38" t="s">
        <v>147</v>
      </c>
      <c r="B29">
        <v>0.125</v>
      </c>
      <c r="C29">
        <v>70.22</v>
      </c>
      <c r="D29">
        <v>3.0000000000000001E-3</v>
      </c>
      <c r="E29">
        <v>5.9999999999999995E-4</v>
      </c>
    </row>
    <row r="30" spans="1:14">
      <c r="A30" s="38" t="s">
        <v>148</v>
      </c>
      <c r="B30">
        <v>0.13800000000000001</v>
      </c>
      <c r="C30">
        <v>73.959999999999994</v>
      </c>
      <c r="D30">
        <v>3.0000000000000001E-3</v>
      </c>
      <c r="E30">
        <v>5.9999999999999995E-4</v>
      </c>
    </row>
    <row r="32" spans="1:14">
      <c r="A32" s="38" t="s">
        <v>149</v>
      </c>
    </row>
    <row r="33" spans="1:2">
      <c r="A33" s="38" t="s">
        <v>8</v>
      </c>
      <c r="B33">
        <v>1</v>
      </c>
    </row>
    <row r="34" spans="1:2">
      <c r="A34" s="38" t="s">
        <v>9</v>
      </c>
      <c r="B34">
        <v>25</v>
      </c>
    </row>
    <row r="35" spans="1:2">
      <c r="A35" s="38" t="s">
        <v>10</v>
      </c>
      <c r="B35">
        <v>298</v>
      </c>
    </row>
  </sheetData>
  <mergeCells count="3">
    <mergeCell ref="A17:N17"/>
    <mergeCell ref="A1:A2"/>
    <mergeCell ref="A8:M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A524-F462-4304-A1DE-5299F0A17EBE}">
  <dimension ref="A1:Q73"/>
  <sheetViews>
    <sheetView topLeftCell="A19" zoomScale="190" zoomScaleNormal="190" workbookViewId="0">
      <selection activeCell="G56" sqref="G56"/>
    </sheetView>
  </sheetViews>
  <sheetFormatPr defaultColWidth="8.83203125" defaultRowHeight="12.95"/>
  <cols>
    <col min="1" max="1" width="9.33203125" style="1" customWidth="1"/>
    <col min="2" max="2" width="4.6640625" style="1" customWidth="1"/>
    <col min="3" max="3" width="11.83203125" style="1" customWidth="1"/>
    <col min="4" max="4" width="8.6640625" style="1" bestFit="1" customWidth="1"/>
    <col min="5" max="5" width="12.1640625" style="1" customWidth="1"/>
    <col min="6" max="6" width="2.83203125" style="1" customWidth="1"/>
    <col min="7" max="7" width="4.83203125" style="1" customWidth="1"/>
    <col min="8" max="8" width="7.6640625" style="1" bestFit="1" customWidth="1"/>
    <col min="9" max="9" width="9" style="1" bestFit="1" customWidth="1"/>
    <col min="10" max="10" width="2.83203125" style="1" customWidth="1"/>
    <col min="11" max="11" width="8.1640625" style="1" bestFit="1" customWidth="1"/>
    <col min="12" max="12" width="8.83203125" style="1" bestFit="1" customWidth="1"/>
    <col min="13" max="13" width="5.33203125" style="1" customWidth="1"/>
    <col min="14" max="14" width="8" style="1" customWidth="1"/>
    <col min="15" max="15" width="9.33203125" style="1" customWidth="1"/>
    <col min="16" max="16" width="8" style="1" customWidth="1"/>
    <col min="17" max="17" width="10.33203125" style="1" customWidth="1"/>
    <col min="18" max="16384" width="8.83203125" style="1"/>
  </cols>
  <sheetData>
    <row r="1" spans="1:17" ht="17.25" customHeight="1">
      <c r="A1" s="225"/>
      <c r="B1" s="226"/>
      <c r="C1" s="227"/>
      <c r="D1" s="234" t="s">
        <v>150</v>
      </c>
      <c r="E1" s="235"/>
      <c r="F1" s="235"/>
      <c r="G1" s="235"/>
      <c r="H1" s="235"/>
      <c r="I1" s="236"/>
      <c r="J1" s="240" t="s">
        <v>151</v>
      </c>
      <c r="K1" s="241"/>
      <c r="L1" s="113" t="s">
        <v>152</v>
      </c>
      <c r="M1" s="112" t="s">
        <v>153</v>
      </c>
      <c r="N1" s="112" t="s">
        <v>154</v>
      </c>
      <c r="O1" s="112" t="s">
        <v>155</v>
      </c>
      <c r="P1" s="112" t="s">
        <v>156</v>
      </c>
      <c r="Q1" s="112" t="s">
        <v>157</v>
      </c>
    </row>
    <row r="2" spans="1:17" ht="17.25" customHeight="1">
      <c r="A2" s="228"/>
      <c r="B2" s="229"/>
      <c r="C2" s="230"/>
      <c r="D2" s="237"/>
      <c r="E2" s="238"/>
      <c r="F2" s="238"/>
      <c r="G2" s="238"/>
      <c r="H2" s="238"/>
      <c r="I2" s="239"/>
      <c r="J2" s="240" t="s">
        <v>158</v>
      </c>
      <c r="K2" s="242"/>
      <c r="L2" s="242"/>
      <c r="M2" s="242"/>
      <c r="N2" s="241"/>
      <c r="O2" s="240" t="s">
        <v>159</v>
      </c>
      <c r="P2" s="242"/>
      <c r="Q2" s="241"/>
    </row>
    <row r="3" spans="1:17" ht="8.1" customHeight="1">
      <c r="A3" s="228"/>
      <c r="B3" s="229"/>
      <c r="C3" s="230"/>
      <c r="D3" s="225"/>
      <c r="E3" s="227"/>
      <c r="F3" s="111" t="s">
        <v>160</v>
      </c>
      <c r="G3" s="111" t="s">
        <v>161</v>
      </c>
      <c r="H3" s="243" t="s">
        <v>162</v>
      </c>
      <c r="I3" s="244"/>
      <c r="J3" s="245"/>
      <c r="K3" s="246" t="s">
        <v>163</v>
      </c>
      <c r="L3" s="247"/>
      <c r="M3" s="248"/>
      <c r="N3" s="243" t="s">
        <v>164</v>
      </c>
      <c r="O3" s="245"/>
      <c r="P3" s="246" t="s">
        <v>165</v>
      </c>
      <c r="Q3" s="248"/>
    </row>
    <row r="4" spans="1:17" ht="9" customHeight="1">
      <c r="A4" s="228"/>
      <c r="B4" s="229"/>
      <c r="C4" s="230"/>
      <c r="D4" s="228"/>
      <c r="E4" s="230"/>
      <c r="F4" s="102" t="s">
        <v>166</v>
      </c>
      <c r="G4" s="110">
        <v>45280</v>
      </c>
      <c r="H4" s="249" t="s">
        <v>167</v>
      </c>
      <c r="I4" s="250"/>
      <c r="J4" s="251"/>
      <c r="K4" s="252" t="s">
        <v>168</v>
      </c>
      <c r="L4" s="253"/>
      <c r="M4" s="254"/>
      <c r="N4" s="255" t="s">
        <v>169</v>
      </c>
      <c r="O4" s="256"/>
      <c r="P4" s="216" t="s">
        <v>170</v>
      </c>
      <c r="Q4" s="217"/>
    </row>
    <row r="5" spans="1:17" ht="8.1" customHeight="1">
      <c r="A5" s="228"/>
      <c r="B5" s="229"/>
      <c r="C5" s="230"/>
      <c r="D5" s="228"/>
      <c r="E5" s="230"/>
      <c r="F5" s="109" t="s">
        <v>171</v>
      </c>
      <c r="G5" s="108">
        <v>44956</v>
      </c>
      <c r="H5" s="218" t="s">
        <v>167</v>
      </c>
      <c r="I5" s="219"/>
      <c r="J5" s="220"/>
      <c r="K5" s="216" t="s">
        <v>172</v>
      </c>
      <c r="L5" s="221"/>
      <c r="M5" s="217"/>
      <c r="N5" s="216" t="s">
        <v>170</v>
      </c>
      <c r="O5" s="217"/>
      <c r="P5" s="222"/>
      <c r="Q5" s="223"/>
    </row>
    <row r="6" spans="1:17" ht="9" customHeight="1">
      <c r="A6" s="228"/>
      <c r="B6" s="229"/>
      <c r="C6" s="230"/>
      <c r="D6" s="228"/>
      <c r="E6" s="230"/>
      <c r="F6" s="107"/>
      <c r="G6" s="107"/>
      <c r="H6" s="222"/>
      <c r="I6" s="224"/>
      <c r="J6" s="223"/>
      <c r="K6" s="222"/>
      <c r="L6" s="224"/>
      <c r="M6" s="223"/>
      <c r="N6" s="222"/>
      <c r="O6" s="223"/>
      <c r="P6" s="222"/>
      <c r="Q6" s="223"/>
    </row>
    <row r="7" spans="1:17" ht="8.1" customHeight="1">
      <c r="A7" s="231"/>
      <c r="B7" s="232"/>
      <c r="C7" s="233"/>
      <c r="D7" s="231"/>
      <c r="E7" s="233"/>
      <c r="F7" s="106"/>
      <c r="G7" s="106"/>
      <c r="H7" s="213"/>
      <c r="I7" s="214"/>
      <c r="J7" s="215"/>
      <c r="K7" s="213"/>
      <c r="L7" s="214"/>
      <c r="M7" s="215"/>
      <c r="N7" s="213"/>
      <c r="O7" s="215"/>
      <c r="P7" s="213"/>
      <c r="Q7" s="215"/>
    </row>
    <row r="8" spans="1:17" ht="21.95">
      <c r="A8" s="114" t="s">
        <v>173</v>
      </c>
      <c r="B8" s="114" t="s">
        <v>174</v>
      </c>
      <c r="C8" s="114" t="s">
        <v>175</v>
      </c>
      <c r="D8" s="114" t="s">
        <v>176</v>
      </c>
      <c r="E8" s="105" t="s">
        <v>177</v>
      </c>
      <c r="F8" s="105" t="s">
        <v>178</v>
      </c>
      <c r="G8" s="105" t="s">
        <v>179</v>
      </c>
      <c r="H8" s="105" t="s">
        <v>180</v>
      </c>
      <c r="I8" s="105" t="s">
        <v>181</v>
      </c>
      <c r="J8" s="105" t="s">
        <v>182</v>
      </c>
      <c r="K8" s="105" t="s">
        <v>183</v>
      </c>
      <c r="L8" s="105" t="s">
        <v>184</v>
      </c>
      <c r="M8" s="105" t="s">
        <v>185</v>
      </c>
      <c r="N8" s="105" t="s">
        <v>186</v>
      </c>
      <c r="O8" s="105" t="s">
        <v>187</v>
      </c>
      <c r="P8" s="105"/>
      <c r="Q8" s="105" t="s">
        <v>188</v>
      </c>
    </row>
    <row r="9" spans="1:17" ht="9" customHeight="1">
      <c r="A9" s="97" t="s">
        <v>189</v>
      </c>
      <c r="B9" s="97" t="s">
        <v>190</v>
      </c>
      <c r="C9" s="96" t="s">
        <v>191</v>
      </c>
      <c r="D9" s="94" t="s">
        <v>192</v>
      </c>
      <c r="E9" s="96" t="s">
        <v>193</v>
      </c>
      <c r="F9" s="94" t="str">
        <f>IF(ISNUMBER(G9),G9*0.7457,"")</f>
        <v/>
      </c>
      <c r="G9" s="102" t="s">
        <v>170</v>
      </c>
      <c r="H9" s="96" t="s">
        <v>170</v>
      </c>
      <c r="I9" s="96" t="s">
        <v>170</v>
      </c>
      <c r="J9" s="183" t="str">
        <f t="shared" ref="J9:J51" si="0">IF(I9="Fixed Speed",100%,IF(I9="Variable Frequency",60%,""))</f>
        <v/>
      </c>
      <c r="K9" s="115" t="str">
        <f>IFERROR(F9*J9*8760/1000,"")</f>
        <v/>
      </c>
      <c r="L9" s="116" t="str">
        <f>IFERROR($K9*$O$73,"")</f>
        <v/>
      </c>
      <c r="M9" s="116" t="str">
        <f>IFERROR($K9*$O$73,"")</f>
        <v/>
      </c>
      <c r="N9" s="116" t="str">
        <f>IFERROR($K9*$O$73,"")</f>
        <v/>
      </c>
      <c r="O9" s="95" t="str">
        <f>IFERROR(L9*'Fuel Usage Emissions'!$B$33+M9*'Fuel Usage Emissions'!$B$34+N9*'Fuel Usage Emissions'!$B$35,"")</f>
        <v/>
      </c>
      <c r="P9" s="95"/>
      <c r="Q9" s="96" t="s">
        <v>194</v>
      </c>
    </row>
    <row r="10" spans="1:17" ht="9.9499999999999993" customHeight="1">
      <c r="A10" s="97" t="s">
        <v>189</v>
      </c>
      <c r="B10" s="97" t="s">
        <v>195</v>
      </c>
      <c r="C10" s="96" t="s">
        <v>196</v>
      </c>
      <c r="D10" s="94" t="s">
        <v>197</v>
      </c>
      <c r="E10" s="96" t="s">
        <v>198</v>
      </c>
      <c r="F10" s="94">
        <f t="shared" ref="F10:F51" si="1">IF(ISNUMBER(G10),G10*0.7457,"")</f>
        <v>55.927500000000002</v>
      </c>
      <c r="G10" s="103">
        <v>75</v>
      </c>
      <c r="H10" s="96" t="s">
        <v>199</v>
      </c>
      <c r="I10" s="96" t="s">
        <v>200</v>
      </c>
      <c r="J10" s="183">
        <f t="shared" si="0"/>
        <v>1</v>
      </c>
      <c r="K10" s="115">
        <f t="shared" ref="K10:K51" si="2">IFERROR(F10*J10*8760/1000,"")</f>
        <v>489.92490000000004</v>
      </c>
      <c r="L10" s="116">
        <f t="shared" ref="L10:L52" si="3">IFERROR($K10*$M$73,"")</f>
        <v>273.26051222400002</v>
      </c>
      <c r="M10" s="116">
        <f t="shared" ref="M10:M52" si="4">IFERROR($K10*$O$73,"")</f>
        <v>2.9630657952000001E-2</v>
      </c>
      <c r="N10" s="116">
        <f t="shared" ref="N10:N52" si="5">IFERROR($K10*$Q$73,"")</f>
        <v>4.2305994964800002E-3</v>
      </c>
      <c r="O10" s="95">
        <f>IFERROR(L10*'Fuel Usage Emissions'!$B$33+M10*'Fuel Usage Emissions'!$B$34+N10*'Fuel Usage Emissions'!$B$35,"")</f>
        <v>275.26199732275109</v>
      </c>
      <c r="P10" s="91"/>
      <c r="Q10" s="92"/>
    </row>
    <row r="11" spans="1:17" ht="9" customHeight="1">
      <c r="A11" s="97" t="s">
        <v>189</v>
      </c>
      <c r="B11" s="97" t="s">
        <v>201</v>
      </c>
      <c r="C11" s="96" t="s">
        <v>202</v>
      </c>
      <c r="D11" s="94" t="s">
        <v>197</v>
      </c>
      <c r="E11" s="96" t="s">
        <v>203</v>
      </c>
      <c r="F11" s="94">
        <f t="shared" si="1"/>
        <v>74.570000000000007</v>
      </c>
      <c r="G11" s="103">
        <v>100</v>
      </c>
      <c r="H11" s="96" t="s">
        <v>199</v>
      </c>
      <c r="I11" s="96" t="s">
        <v>204</v>
      </c>
      <c r="J11" s="183">
        <f t="shared" si="0"/>
        <v>0.6</v>
      </c>
      <c r="K11" s="115">
        <f>IFERROR(F11*J11*8760/1000,"")</f>
        <v>391.93992000000003</v>
      </c>
      <c r="L11" s="116">
        <f t="shared" si="3"/>
        <v>218.60840977920003</v>
      </c>
      <c r="M11" s="116">
        <f t="shared" si="4"/>
        <v>2.37045263616E-2</v>
      </c>
      <c r="N11" s="116">
        <f t="shared" si="5"/>
        <v>3.3844795971840003E-3</v>
      </c>
      <c r="O11" s="95">
        <f>IFERROR(L11*'Fuel Usage Emissions'!$B$33+M11*'Fuel Usage Emissions'!$B$34+N11*'Fuel Usage Emissions'!$B$35,"")</f>
        <v>220.20959785820088</v>
      </c>
      <c r="P11" s="99"/>
      <c r="Q11" s="100"/>
    </row>
    <row r="12" spans="1:17" ht="9" customHeight="1">
      <c r="A12" s="97" t="s">
        <v>189</v>
      </c>
      <c r="B12" s="97" t="s">
        <v>205</v>
      </c>
      <c r="C12" s="96" t="s">
        <v>202</v>
      </c>
      <c r="D12" s="94" t="s">
        <v>197</v>
      </c>
      <c r="E12" s="96" t="s">
        <v>203</v>
      </c>
      <c r="F12" s="94">
        <f t="shared" si="1"/>
        <v>74.570000000000007</v>
      </c>
      <c r="G12" s="103">
        <v>100</v>
      </c>
      <c r="H12" s="96" t="s">
        <v>199</v>
      </c>
      <c r="I12" s="96" t="s">
        <v>204</v>
      </c>
      <c r="J12" s="183">
        <f t="shared" si="0"/>
        <v>0.6</v>
      </c>
      <c r="K12" s="115">
        <f t="shared" si="2"/>
        <v>391.93992000000003</v>
      </c>
      <c r="L12" s="116">
        <f t="shared" si="3"/>
        <v>218.60840977920003</v>
      </c>
      <c r="M12" s="116">
        <f t="shared" si="4"/>
        <v>2.37045263616E-2</v>
      </c>
      <c r="N12" s="116">
        <f t="shared" si="5"/>
        <v>3.3844795971840003E-3</v>
      </c>
      <c r="O12" s="95">
        <f>IFERROR(L12*'Fuel Usage Emissions'!$B$33+M12*'Fuel Usage Emissions'!$B$34+N12*'Fuel Usage Emissions'!$B$35,"")</f>
        <v>220.20959785820088</v>
      </c>
      <c r="P12" s="99"/>
      <c r="Q12" s="100"/>
    </row>
    <row r="13" spans="1:17" ht="9.9499999999999993" customHeight="1">
      <c r="A13" s="97" t="s">
        <v>189</v>
      </c>
      <c r="B13" s="97" t="s">
        <v>206</v>
      </c>
      <c r="C13" s="96" t="s">
        <v>202</v>
      </c>
      <c r="D13" s="94" t="s">
        <v>197</v>
      </c>
      <c r="E13" s="96" t="s">
        <v>203</v>
      </c>
      <c r="F13" s="94">
        <f t="shared" si="1"/>
        <v>74.570000000000007</v>
      </c>
      <c r="G13" s="103">
        <v>100</v>
      </c>
      <c r="H13" s="96" t="s">
        <v>199</v>
      </c>
      <c r="I13" s="96" t="s">
        <v>204</v>
      </c>
      <c r="J13" s="183">
        <f t="shared" si="0"/>
        <v>0.6</v>
      </c>
      <c r="K13" s="115">
        <f t="shared" si="2"/>
        <v>391.93992000000003</v>
      </c>
      <c r="L13" s="116">
        <f t="shared" si="3"/>
        <v>218.60840977920003</v>
      </c>
      <c r="M13" s="116">
        <f t="shared" si="4"/>
        <v>2.37045263616E-2</v>
      </c>
      <c r="N13" s="116">
        <f t="shared" si="5"/>
        <v>3.3844795971840003E-3</v>
      </c>
      <c r="O13" s="95">
        <f>IFERROR(L13*'Fuel Usage Emissions'!$B$33+M13*'Fuel Usage Emissions'!$B$34+N13*'Fuel Usage Emissions'!$B$35,"")</f>
        <v>220.20959785820088</v>
      </c>
      <c r="P13" s="91"/>
      <c r="Q13" s="92"/>
    </row>
    <row r="14" spans="1:17" ht="9" customHeight="1">
      <c r="A14" s="97" t="s">
        <v>189</v>
      </c>
      <c r="B14" s="97" t="s">
        <v>207</v>
      </c>
      <c r="C14" s="96" t="s">
        <v>208</v>
      </c>
      <c r="D14" s="94" t="s">
        <v>197</v>
      </c>
      <c r="E14" s="96" t="s">
        <v>203</v>
      </c>
      <c r="F14" s="94">
        <f t="shared" si="1"/>
        <v>74.570000000000007</v>
      </c>
      <c r="G14" s="103">
        <v>100</v>
      </c>
      <c r="H14" s="96" t="s">
        <v>209</v>
      </c>
      <c r="I14" s="96" t="s">
        <v>204</v>
      </c>
      <c r="J14" s="183">
        <f t="shared" si="0"/>
        <v>0.6</v>
      </c>
      <c r="K14" s="115">
        <f t="shared" si="2"/>
        <v>391.93992000000003</v>
      </c>
      <c r="L14" s="116">
        <f t="shared" si="3"/>
        <v>218.60840977920003</v>
      </c>
      <c r="M14" s="116">
        <f t="shared" si="4"/>
        <v>2.37045263616E-2</v>
      </c>
      <c r="N14" s="116">
        <f t="shared" si="5"/>
        <v>3.3844795971840003E-3</v>
      </c>
      <c r="O14" s="95">
        <f>IFERROR(L14*'Fuel Usage Emissions'!$B$33+M14*'Fuel Usage Emissions'!$B$34+N14*'Fuel Usage Emissions'!$B$35,"")</f>
        <v>220.20959785820088</v>
      </c>
      <c r="P14" s="99"/>
      <c r="Q14" s="100"/>
    </row>
    <row r="15" spans="1:17" ht="9" customHeight="1">
      <c r="A15" s="97" t="s">
        <v>210</v>
      </c>
      <c r="B15" s="97" t="s">
        <v>211</v>
      </c>
      <c r="C15" s="96" t="s">
        <v>212</v>
      </c>
      <c r="D15" s="94" t="s">
        <v>192</v>
      </c>
      <c r="E15" s="96" t="s">
        <v>213</v>
      </c>
      <c r="F15" s="94" t="str">
        <f t="shared" si="1"/>
        <v/>
      </c>
      <c r="G15" s="102" t="s">
        <v>170</v>
      </c>
      <c r="H15" s="96" t="s">
        <v>199</v>
      </c>
      <c r="I15" s="96" t="s">
        <v>170</v>
      </c>
      <c r="J15" s="183" t="str">
        <f t="shared" si="0"/>
        <v/>
      </c>
      <c r="K15" s="115" t="str">
        <f t="shared" si="2"/>
        <v/>
      </c>
      <c r="L15" s="116" t="str">
        <f t="shared" si="3"/>
        <v/>
      </c>
      <c r="M15" s="116" t="str">
        <f t="shared" si="4"/>
        <v/>
      </c>
      <c r="N15" s="116" t="str">
        <f t="shared" si="5"/>
        <v/>
      </c>
      <c r="O15" s="95" t="str">
        <f>IFERROR(L15*'Fuel Usage Emissions'!$B$33+M15*'Fuel Usage Emissions'!$B$34+N15*'Fuel Usage Emissions'!$B$35,"")</f>
        <v/>
      </c>
      <c r="P15" s="99"/>
      <c r="Q15" s="100"/>
    </row>
    <row r="16" spans="1:17" ht="9" customHeight="1">
      <c r="A16" s="97" t="s">
        <v>210</v>
      </c>
      <c r="B16" s="97" t="s">
        <v>214</v>
      </c>
      <c r="C16" s="96" t="s">
        <v>212</v>
      </c>
      <c r="D16" s="94" t="s">
        <v>192</v>
      </c>
      <c r="E16" s="96" t="s">
        <v>215</v>
      </c>
      <c r="F16" s="94" t="str">
        <f t="shared" si="1"/>
        <v/>
      </c>
      <c r="G16" s="102" t="s">
        <v>170</v>
      </c>
      <c r="H16" s="96" t="s">
        <v>199</v>
      </c>
      <c r="I16" s="96" t="s">
        <v>170</v>
      </c>
      <c r="J16" s="183" t="str">
        <f t="shared" si="0"/>
        <v/>
      </c>
      <c r="K16" s="115" t="str">
        <f t="shared" si="2"/>
        <v/>
      </c>
      <c r="L16" s="116" t="str">
        <f t="shared" si="3"/>
        <v/>
      </c>
      <c r="M16" s="116" t="str">
        <f t="shared" si="4"/>
        <v/>
      </c>
      <c r="N16" s="116" t="str">
        <f t="shared" si="5"/>
        <v/>
      </c>
      <c r="O16" s="95" t="str">
        <f>IFERROR(L16*'Fuel Usage Emissions'!$B$33+M16*'Fuel Usage Emissions'!$B$34+N16*'Fuel Usage Emissions'!$B$35,"")</f>
        <v/>
      </c>
      <c r="P16" s="99"/>
      <c r="Q16" s="100"/>
    </row>
    <row r="17" spans="1:17" ht="9" customHeight="1">
      <c r="A17" s="97" t="s">
        <v>210</v>
      </c>
      <c r="B17" s="97" t="s">
        <v>216</v>
      </c>
      <c r="C17" s="96" t="s">
        <v>212</v>
      </c>
      <c r="D17" s="94" t="s">
        <v>192</v>
      </c>
      <c r="E17" s="96" t="s">
        <v>215</v>
      </c>
      <c r="F17" s="94" t="str">
        <f t="shared" si="1"/>
        <v/>
      </c>
      <c r="G17" s="102" t="s">
        <v>170</v>
      </c>
      <c r="H17" s="96" t="s">
        <v>199</v>
      </c>
      <c r="I17" s="96" t="s">
        <v>170</v>
      </c>
      <c r="J17" s="183" t="str">
        <f t="shared" si="0"/>
        <v/>
      </c>
      <c r="K17" s="115" t="str">
        <f t="shared" si="2"/>
        <v/>
      </c>
      <c r="L17" s="116" t="str">
        <f t="shared" si="3"/>
        <v/>
      </c>
      <c r="M17" s="116" t="str">
        <f t="shared" si="4"/>
        <v/>
      </c>
      <c r="N17" s="116" t="str">
        <f t="shared" si="5"/>
        <v/>
      </c>
      <c r="O17" s="95" t="str">
        <f>IFERROR(L17*'Fuel Usage Emissions'!$B$33+M17*'Fuel Usage Emissions'!$B$34+N17*'Fuel Usage Emissions'!$B$35,"")</f>
        <v/>
      </c>
      <c r="P17" s="99"/>
      <c r="Q17" s="100"/>
    </row>
    <row r="18" spans="1:17" ht="9.9499999999999993" customHeight="1">
      <c r="A18" s="97" t="s">
        <v>210</v>
      </c>
      <c r="B18" s="97" t="s">
        <v>217</v>
      </c>
      <c r="C18" s="96" t="s">
        <v>218</v>
      </c>
      <c r="D18" s="94" t="s">
        <v>197</v>
      </c>
      <c r="E18" s="96" t="s">
        <v>219</v>
      </c>
      <c r="F18" s="94">
        <f t="shared" si="1"/>
        <v>18.642500000000002</v>
      </c>
      <c r="G18" s="103">
        <v>25</v>
      </c>
      <c r="H18" s="96" t="s">
        <v>170</v>
      </c>
      <c r="I18" s="96" t="s">
        <v>204</v>
      </c>
      <c r="J18" s="183">
        <f t="shared" si="0"/>
        <v>0.6</v>
      </c>
      <c r="K18" s="115">
        <f t="shared" si="2"/>
        <v>97.984980000000007</v>
      </c>
      <c r="L18" s="116">
        <f t="shared" si="3"/>
        <v>54.652102444800008</v>
      </c>
      <c r="M18" s="116">
        <f t="shared" si="4"/>
        <v>5.9261315904E-3</v>
      </c>
      <c r="N18" s="116">
        <f t="shared" si="5"/>
        <v>8.4611989929600008E-4</v>
      </c>
      <c r="O18" s="95">
        <f>IFERROR(L18*'Fuel Usage Emissions'!$B$33+M18*'Fuel Usage Emissions'!$B$34+N18*'Fuel Usage Emissions'!$B$35,"")</f>
        <v>55.05239946455022</v>
      </c>
      <c r="P18" s="91"/>
      <c r="Q18" s="92"/>
    </row>
    <row r="19" spans="1:17" ht="9" customHeight="1">
      <c r="A19" s="97" t="s">
        <v>210</v>
      </c>
      <c r="B19" s="97" t="s">
        <v>220</v>
      </c>
      <c r="C19" s="96" t="s">
        <v>218</v>
      </c>
      <c r="D19" s="94" t="s">
        <v>197</v>
      </c>
      <c r="E19" s="96" t="s">
        <v>221</v>
      </c>
      <c r="F19" s="94">
        <f t="shared" si="1"/>
        <v>18.642500000000002</v>
      </c>
      <c r="G19" s="103">
        <v>25</v>
      </c>
      <c r="H19" s="96" t="s">
        <v>170</v>
      </c>
      <c r="I19" s="96" t="s">
        <v>204</v>
      </c>
      <c r="J19" s="183">
        <f t="shared" si="0"/>
        <v>0.6</v>
      </c>
      <c r="K19" s="115">
        <f t="shared" si="2"/>
        <v>97.984980000000007</v>
      </c>
      <c r="L19" s="116">
        <f t="shared" si="3"/>
        <v>54.652102444800008</v>
      </c>
      <c r="M19" s="116">
        <f t="shared" si="4"/>
        <v>5.9261315904E-3</v>
      </c>
      <c r="N19" s="116">
        <f t="shared" si="5"/>
        <v>8.4611989929600008E-4</v>
      </c>
      <c r="O19" s="95">
        <f>IFERROR(L19*'Fuel Usage Emissions'!$B$33+M19*'Fuel Usage Emissions'!$B$34+N19*'Fuel Usage Emissions'!$B$35,"")</f>
        <v>55.05239946455022</v>
      </c>
      <c r="P19" s="99"/>
      <c r="Q19" s="100"/>
    </row>
    <row r="20" spans="1:17" ht="9" customHeight="1">
      <c r="A20" s="97" t="s">
        <v>210</v>
      </c>
      <c r="B20" s="97" t="s">
        <v>222</v>
      </c>
      <c r="C20" s="96" t="s">
        <v>218</v>
      </c>
      <c r="D20" s="94" t="s">
        <v>197</v>
      </c>
      <c r="E20" s="96" t="s">
        <v>219</v>
      </c>
      <c r="F20" s="94">
        <f t="shared" si="1"/>
        <v>18.642500000000002</v>
      </c>
      <c r="G20" s="103">
        <v>25</v>
      </c>
      <c r="H20" s="96" t="s">
        <v>170</v>
      </c>
      <c r="I20" s="96" t="s">
        <v>204</v>
      </c>
      <c r="J20" s="183">
        <f t="shared" si="0"/>
        <v>0.6</v>
      </c>
      <c r="K20" s="115">
        <f t="shared" si="2"/>
        <v>97.984980000000007</v>
      </c>
      <c r="L20" s="116">
        <f t="shared" si="3"/>
        <v>54.652102444800008</v>
      </c>
      <c r="M20" s="116">
        <f t="shared" si="4"/>
        <v>5.9261315904E-3</v>
      </c>
      <c r="N20" s="116">
        <f t="shared" si="5"/>
        <v>8.4611989929600008E-4</v>
      </c>
      <c r="O20" s="95">
        <f>IFERROR(L20*'Fuel Usage Emissions'!$B$33+M20*'Fuel Usage Emissions'!$B$34+N20*'Fuel Usage Emissions'!$B$35,"")</f>
        <v>55.05239946455022</v>
      </c>
      <c r="P20" s="99"/>
      <c r="Q20" s="100"/>
    </row>
    <row r="21" spans="1:17" ht="9" customHeight="1">
      <c r="A21" s="97" t="s">
        <v>189</v>
      </c>
      <c r="B21" s="97" t="s">
        <v>223</v>
      </c>
      <c r="C21" s="96" t="s">
        <v>224</v>
      </c>
      <c r="D21" s="94" t="s">
        <v>197</v>
      </c>
      <c r="E21" s="96" t="s">
        <v>225</v>
      </c>
      <c r="F21" s="94">
        <f t="shared" si="1"/>
        <v>11.185500000000001</v>
      </c>
      <c r="G21" s="103">
        <v>15</v>
      </c>
      <c r="H21" s="96" t="s">
        <v>209</v>
      </c>
      <c r="I21" s="96" t="s">
        <v>200</v>
      </c>
      <c r="J21" s="183">
        <f t="shared" si="0"/>
        <v>1</v>
      </c>
      <c r="K21" s="115">
        <f t="shared" si="2"/>
        <v>97.984980000000007</v>
      </c>
      <c r="L21" s="116">
        <f t="shared" si="3"/>
        <v>54.652102444800008</v>
      </c>
      <c r="M21" s="116">
        <f t="shared" si="4"/>
        <v>5.9261315904E-3</v>
      </c>
      <c r="N21" s="116">
        <f t="shared" si="5"/>
        <v>8.4611989929600008E-4</v>
      </c>
      <c r="O21" s="95">
        <f>IFERROR(L21*'Fuel Usage Emissions'!$B$33+M21*'Fuel Usage Emissions'!$B$34+N21*'Fuel Usage Emissions'!$B$35,"")</f>
        <v>55.05239946455022</v>
      </c>
      <c r="P21" s="99"/>
      <c r="Q21" s="100"/>
    </row>
    <row r="22" spans="1:17" ht="9.9499999999999993" customHeight="1">
      <c r="A22" s="97" t="s">
        <v>189</v>
      </c>
      <c r="B22" s="97" t="s">
        <v>226</v>
      </c>
      <c r="C22" s="96" t="s">
        <v>227</v>
      </c>
      <c r="D22" s="94" t="s">
        <v>192</v>
      </c>
      <c r="E22" s="92"/>
      <c r="F22" s="94" t="str">
        <f t="shared" si="1"/>
        <v/>
      </c>
      <c r="G22" s="102" t="s">
        <v>170</v>
      </c>
      <c r="H22" s="96" t="s">
        <v>170</v>
      </c>
      <c r="I22" s="96" t="s">
        <v>170</v>
      </c>
      <c r="J22" s="183" t="str">
        <f t="shared" si="0"/>
        <v/>
      </c>
      <c r="K22" s="115" t="str">
        <f t="shared" si="2"/>
        <v/>
      </c>
      <c r="L22" s="116" t="str">
        <f t="shared" si="3"/>
        <v/>
      </c>
      <c r="M22" s="116" t="str">
        <f t="shared" si="4"/>
        <v/>
      </c>
      <c r="N22" s="116" t="str">
        <f t="shared" si="5"/>
        <v/>
      </c>
      <c r="O22" s="95" t="str">
        <f>IFERROR(L22*'Fuel Usage Emissions'!$B$33+M22*'Fuel Usage Emissions'!$B$34+N22*'Fuel Usage Emissions'!$B$35,"")</f>
        <v/>
      </c>
      <c r="P22" s="91"/>
      <c r="Q22" s="92"/>
    </row>
    <row r="23" spans="1:17" ht="9" customHeight="1">
      <c r="A23" s="97" t="s">
        <v>210</v>
      </c>
      <c r="B23" s="97" t="s">
        <v>228</v>
      </c>
      <c r="C23" s="96" t="s">
        <v>229</v>
      </c>
      <c r="D23" s="94" t="s">
        <v>197</v>
      </c>
      <c r="E23" s="96" t="s">
        <v>230</v>
      </c>
      <c r="F23" s="94">
        <f t="shared" si="1"/>
        <v>11.185500000000001</v>
      </c>
      <c r="G23" s="103">
        <v>15</v>
      </c>
      <c r="H23" s="96" t="s">
        <v>209</v>
      </c>
      <c r="I23" s="96"/>
      <c r="J23" s="183" t="str">
        <f t="shared" si="0"/>
        <v/>
      </c>
      <c r="K23" s="115" t="str">
        <f t="shared" si="2"/>
        <v/>
      </c>
      <c r="L23" s="116" t="str">
        <f t="shared" si="3"/>
        <v/>
      </c>
      <c r="M23" s="116" t="str">
        <f t="shared" si="4"/>
        <v/>
      </c>
      <c r="N23" s="116" t="str">
        <f t="shared" si="5"/>
        <v/>
      </c>
      <c r="O23" s="95" t="str">
        <f>IFERROR(L23*'Fuel Usage Emissions'!$B$33+M23*'Fuel Usage Emissions'!$B$34+N23*'Fuel Usage Emissions'!$B$35,"")</f>
        <v/>
      </c>
      <c r="P23" s="99"/>
      <c r="Q23" s="100"/>
    </row>
    <row r="24" spans="1:17" ht="9" customHeight="1">
      <c r="A24" s="97" t="s">
        <v>231</v>
      </c>
      <c r="B24" s="97" t="s">
        <v>232</v>
      </c>
      <c r="C24" s="96" t="s">
        <v>233</v>
      </c>
      <c r="D24" s="94" t="s">
        <v>192</v>
      </c>
      <c r="E24" s="96" t="s">
        <v>234</v>
      </c>
      <c r="F24" s="94" t="str">
        <f t="shared" si="1"/>
        <v/>
      </c>
      <c r="G24" s="102" t="s">
        <v>170</v>
      </c>
      <c r="H24" s="96" t="s">
        <v>170</v>
      </c>
      <c r="I24" s="96" t="s">
        <v>170</v>
      </c>
      <c r="J24" s="183" t="str">
        <f t="shared" si="0"/>
        <v/>
      </c>
      <c r="K24" s="115" t="str">
        <f t="shared" si="2"/>
        <v/>
      </c>
      <c r="L24" s="116" t="str">
        <f t="shared" si="3"/>
        <v/>
      </c>
      <c r="M24" s="116" t="str">
        <f t="shared" si="4"/>
        <v/>
      </c>
      <c r="N24" s="116" t="str">
        <f t="shared" si="5"/>
        <v/>
      </c>
      <c r="O24" s="95" t="str">
        <f>IFERROR(L24*'Fuel Usage Emissions'!$B$33+M24*'Fuel Usage Emissions'!$B$34+N24*'Fuel Usage Emissions'!$B$35,"")</f>
        <v/>
      </c>
      <c r="P24" s="95"/>
      <c r="Q24" s="96" t="s">
        <v>235</v>
      </c>
    </row>
    <row r="25" spans="1:17" ht="9" customHeight="1">
      <c r="A25" s="97" t="s">
        <v>236</v>
      </c>
      <c r="B25" s="97" t="s">
        <v>237</v>
      </c>
      <c r="C25" s="96" t="s">
        <v>238</v>
      </c>
      <c r="D25" s="94" t="s">
        <v>192</v>
      </c>
      <c r="E25" s="96" t="s">
        <v>239</v>
      </c>
      <c r="F25" s="94" t="str">
        <f t="shared" si="1"/>
        <v/>
      </c>
      <c r="G25" s="102" t="s">
        <v>170</v>
      </c>
      <c r="H25" s="96" t="s">
        <v>170</v>
      </c>
      <c r="I25" s="96" t="s">
        <v>170</v>
      </c>
      <c r="J25" s="183" t="str">
        <f t="shared" si="0"/>
        <v/>
      </c>
      <c r="K25" s="115" t="str">
        <f t="shared" si="2"/>
        <v/>
      </c>
      <c r="L25" s="116" t="str">
        <f t="shared" si="3"/>
        <v/>
      </c>
      <c r="M25" s="116" t="str">
        <f t="shared" si="4"/>
        <v/>
      </c>
      <c r="N25" s="116" t="str">
        <f t="shared" si="5"/>
        <v/>
      </c>
      <c r="O25" s="95" t="str">
        <f>IFERROR(L25*'Fuel Usage Emissions'!$B$33+M25*'Fuel Usage Emissions'!$B$34+N25*'Fuel Usage Emissions'!$B$35,"")</f>
        <v/>
      </c>
      <c r="P25" s="95"/>
      <c r="Q25" s="96" t="s">
        <v>194</v>
      </c>
    </row>
    <row r="26" spans="1:17" ht="9" customHeight="1">
      <c r="A26" s="97" t="s">
        <v>236</v>
      </c>
      <c r="B26" s="97" t="s">
        <v>240</v>
      </c>
      <c r="C26" s="96" t="s">
        <v>241</v>
      </c>
      <c r="D26" s="94" t="s">
        <v>197</v>
      </c>
      <c r="E26" s="96" t="s">
        <v>242</v>
      </c>
      <c r="F26" s="94">
        <f t="shared" si="1"/>
        <v>74.570000000000007</v>
      </c>
      <c r="G26" s="103">
        <v>100</v>
      </c>
      <c r="H26" s="96" t="s">
        <v>199</v>
      </c>
      <c r="I26" s="96" t="s">
        <v>200</v>
      </c>
      <c r="J26" s="183">
        <f t="shared" si="0"/>
        <v>1</v>
      </c>
      <c r="K26" s="115">
        <f t="shared" si="2"/>
        <v>653.23320000000012</v>
      </c>
      <c r="L26" s="116">
        <f t="shared" si="3"/>
        <v>364.34734963200009</v>
      </c>
      <c r="M26" s="116">
        <f t="shared" si="4"/>
        <v>3.9507543936000006E-2</v>
      </c>
      <c r="N26" s="116">
        <f t="shared" si="5"/>
        <v>5.6407993286400008E-3</v>
      </c>
      <c r="O26" s="95">
        <f>IFERROR(L26*'Fuel Usage Emissions'!$B$33+M26*'Fuel Usage Emissions'!$B$34+N26*'Fuel Usage Emissions'!$B$35,"")</f>
        <v>367.01599643033478</v>
      </c>
      <c r="P26" s="99"/>
      <c r="Q26" s="100"/>
    </row>
    <row r="27" spans="1:17" ht="9" customHeight="1">
      <c r="A27" s="97" t="s">
        <v>231</v>
      </c>
      <c r="B27" s="97" t="s">
        <v>243</v>
      </c>
      <c r="C27" s="96" t="s">
        <v>244</v>
      </c>
      <c r="D27" s="94" t="s">
        <v>197</v>
      </c>
      <c r="E27" s="96" t="s">
        <v>245</v>
      </c>
      <c r="F27" s="94">
        <f t="shared" si="1"/>
        <v>11.185500000000001</v>
      </c>
      <c r="G27" s="103">
        <v>15</v>
      </c>
      <c r="H27" s="96" t="s">
        <v>199</v>
      </c>
      <c r="I27" s="96" t="s">
        <v>200</v>
      </c>
      <c r="J27" s="183">
        <f t="shared" si="0"/>
        <v>1</v>
      </c>
      <c r="K27" s="115">
        <f t="shared" si="2"/>
        <v>97.984980000000007</v>
      </c>
      <c r="L27" s="116">
        <f t="shared" si="3"/>
        <v>54.652102444800008</v>
      </c>
      <c r="M27" s="116">
        <f t="shared" si="4"/>
        <v>5.9261315904E-3</v>
      </c>
      <c r="N27" s="116">
        <f t="shared" si="5"/>
        <v>8.4611989929600008E-4</v>
      </c>
      <c r="O27" s="95">
        <f>IFERROR(L27*'Fuel Usage Emissions'!$B$33+M27*'Fuel Usage Emissions'!$B$34+N27*'Fuel Usage Emissions'!$B$35,"")</f>
        <v>55.05239946455022</v>
      </c>
      <c r="P27" s="99"/>
      <c r="Q27" s="100"/>
    </row>
    <row r="28" spans="1:17" ht="9.9499999999999993" customHeight="1">
      <c r="A28" s="97" t="s">
        <v>231</v>
      </c>
      <c r="B28" s="97" t="s">
        <v>246</v>
      </c>
      <c r="C28" s="96" t="s">
        <v>247</v>
      </c>
      <c r="D28" s="94" t="s">
        <v>197</v>
      </c>
      <c r="E28" s="96" t="s">
        <v>245</v>
      </c>
      <c r="F28" s="94">
        <f t="shared" si="1"/>
        <v>11.185500000000001</v>
      </c>
      <c r="G28" s="103">
        <v>15</v>
      </c>
      <c r="H28" s="96" t="s">
        <v>209</v>
      </c>
      <c r="I28" s="96" t="s">
        <v>200</v>
      </c>
      <c r="J28" s="183">
        <f t="shared" si="0"/>
        <v>1</v>
      </c>
      <c r="K28" s="115">
        <f t="shared" si="2"/>
        <v>97.984980000000007</v>
      </c>
      <c r="L28" s="116">
        <f t="shared" si="3"/>
        <v>54.652102444800008</v>
      </c>
      <c r="M28" s="116">
        <f t="shared" si="4"/>
        <v>5.9261315904E-3</v>
      </c>
      <c r="N28" s="116">
        <f t="shared" si="5"/>
        <v>8.4611989929600008E-4</v>
      </c>
      <c r="O28" s="95">
        <f>IFERROR(L28*'Fuel Usage Emissions'!$B$33+M28*'Fuel Usage Emissions'!$B$34+N28*'Fuel Usage Emissions'!$B$35,"")</f>
        <v>55.05239946455022</v>
      </c>
      <c r="P28" s="91"/>
      <c r="Q28" s="92"/>
    </row>
    <row r="29" spans="1:17" ht="9" customHeight="1">
      <c r="A29" s="97" t="s">
        <v>231</v>
      </c>
      <c r="B29" s="97" t="s">
        <v>248</v>
      </c>
      <c r="C29" s="96" t="s">
        <v>249</v>
      </c>
      <c r="D29" s="94" t="s">
        <v>197</v>
      </c>
      <c r="E29" s="96" t="s">
        <v>250</v>
      </c>
      <c r="F29" s="94">
        <f t="shared" si="1"/>
        <v>7.4570000000000007</v>
      </c>
      <c r="G29" s="103">
        <v>10</v>
      </c>
      <c r="H29" s="96" t="s">
        <v>199</v>
      </c>
      <c r="I29" s="96" t="s">
        <v>200</v>
      </c>
      <c r="J29" s="183">
        <f t="shared" si="0"/>
        <v>1</v>
      </c>
      <c r="K29" s="115">
        <f t="shared" si="2"/>
        <v>65.32332000000001</v>
      </c>
      <c r="L29" s="116">
        <f t="shared" si="3"/>
        <v>36.434734963200007</v>
      </c>
      <c r="M29" s="116">
        <f t="shared" si="4"/>
        <v>3.9507543936000006E-3</v>
      </c>
      <c r="N29" s="116">
        <f t="shared" si="5"/>
        <v>5.6407993286400012E-4</v>
      </c>
      <c r="O29" s="95">
        <f>IFERROR(L29*'Fuel Usage Emissions'!$B$33+M29*'Fuel Usage Emissions'!$B$34+N29*'Fuel Usage Emissions'!$B$35,"")</f>
        <v>36.701599643033482</v>
      </c>
      <c r="P29" s="99"/>
      <c r="Q29" s="100"/>
    </row>
    <row r="30" spans="1:17" ht="9" customHeight="1">
      <c r="A30" s="97" t="s">
        <v>231</v>
      </c>
      <c r="B30" s="97" t="s">
        <v>251</v>
      </c>
      <c r="C30" s="96" t="s">
        <v>249</v>
      </c>
      <c r="D30" s="94" t="s">
        <v>197</v>
      </c>
      <c r="E30" s="96" t="s">
        <v>250</v>
      </c>
      <c r="F30" s="94">
        <f t="shared" si="1"/>
        <v>7.4570000000000007</v>
      </c>
      <c r="G30" s="103">
        <v>10</v>
      </c>
      <c r="H30" s="96" t="s">
        <v>199</v>
      </c>
      <c r="I30" s="96" t="s">
        <v>200</v>
      </c>
      <c r="J30" s="183">
        <f t="shared" si="0"/>
        <v>1</v>
      </c>
      <c r="K30" s="115">
        <f t="shared" si="2"/>
        <v>65.32332000000001</v>
      </c>
      <c r="L30" s="116">
        <f t="shared" si="3"/>
        <v>36.434734963200007</v>
      </c>
      <c r="M30" s="116">
        <f t="shared" si="4"/>
        <v>3.9507543936000006E-3</v>
      </c>
      <c r="N30" s="116">
        <f t="shared" si="5"/>
        <v>5.6407993286400012E-4</v>
      </c>
      <c r="O30" s="95">
        <f>IFERROR(L30*'Fuel Usage Emissions'!$B$33+M30*'Fuel Usage Emissions'!$B$34+N30*'Fuel Usage Emissions'!$B$35,"")</f>
        <v>36.701599643033482</v>
      </c>
      <c r="P30" s="99"/>
      <c r="Q30" s="100"/>
    </row>
    <row r="31" spans="1:17" ht="9" customHeight="1">
      <c r="A31" s="97" t="s">
        <v>231</v>
      </c>
      <c r="B31" s="97" t="s">
        <v>252</v>
      </c>
      <c r="C31" s="96" t="s">
        <v>249</v>
      </c>
      <c r="D31" s="94" t="s">
        <v>197</v>
      </c>
      <c r="E31" s="96" t="s">
        <v>250</v>
      </c>
      <c r="F31" s="94">
        <f t="shared" si="1"/>
        <v>7.4570000000000007</v>
      </c>
      <c r="G31" s="103">
        <v>10</v>
      </c>
      <c r="H31" s="96" t="s">
        <v>199</v>
      </c>
      <c r="I31" s="96" t="s">
        <v>200</v>
      </c>
      <c r="J31" s="183">
        <f t="shared" si="0"/>
        <v>1</v>
      </c>
      <c r="K31" s="115">
        <f t="shared" si="2"/>
        <v>65.32332000000001</v>
      </c>
      <c r="L31" s="116">
        <f t="shared" si="3"/>
        <v>36.434734963200007</v>
      </c>
      <c r="M31" s="116">
        <f t="shared" si="4"/>
        <v>3.9507543936000006E-3</v>
      </c>
      <c r="N31" s="116">
        <f t="shared" si="5"/>
        <v>5.6407993286400012E-4</v>
      </c>
      <c r="O31" s="95">
        <f>IFERROR(L31*'Fuel Usage Emissions'!$B$33+M31*'Fuel Usage Emissions'!$B$34+N31*'Fuel Usage Emissions'!$B$35,"")</f>
        <v>36.701599643033482</v>
      </c>
      <c r="P31" s="99"/>
      <c r="Q31" s="100"/>
    </row>
    <row r="32" spans="1:17" ht="9.9499999999999993" customHeight="1">
      <c r="A32" s="97" t="s">
        <v>231</v>
      </c>
      <c r="B32" s="97" t="s">
        <v>253</v>
      </c>
      <c r="C32" s="96" t="s">
        <v>249</v>
      </c>
      <c r="D32" s="94" t="s">
        <v>197</v>
      </c>
      <c r="E32" s="96" t="s">
        <v>250</v>
      </c>
      <c r="F32" s="94">
        <f t="shared" si="1"/>
        <v>7.4570000000000007</v>
      </c>
      <c r="G32" s="103">
        <v>10</v>
      </c>
      <c r="H32" s="96" t="s">
        <v>199</v>
      </c>
      <c r="I32" s="96" t="s">
        <v>200</v>
      </c>
      <c r="J32" s="183">
        <f t="shared" si="0"/>
        <v>1</v>
      </c>
      <c r="K32" s="115">
        <f t="shared" si="2"/>
        <v>65.32332000000001</v>
      </c>
      <c r="L32" s="116">
        <f t="shared" si="3"/>
        <v>36.434734963200007</v>
      </c>
      <c r="M32" s="116">
        <f t="shared" si="4"/>
        <v>3.9507543936000006E-3</v>
      </c>
      <c r="N32" s="116">
        <f t="shared" si="5"/>
        <v>5.6407993286400012E-4</v>
      </c>
      <c r="O32" s="95">
        <f>IFERROR(L32*'Fuel Usage Emissions'!$B$33+M32*'Fuel Usage Emissions'!$B$34+N32*'Fuel Usage Emissions'!$B$35,"")</f>
        <v>36.701599643033482</v>
      </c>
      <c r="P32" s="91"/>
      <c r="Q32" s="92"/>
    </row>
    <row r="33" spans="1:17" ht="9" customHeight="1">
      <c r="A33" s="97" t="s">
        <v>231</v>
      </c>
      <c r="B33" s="97" t="s">
        <v>254</v>
      </c>
      <c r="C33" s="96" t="s">
        <v>255</v>
      </c>
      <c r="D33" s="94" t="s">
        <v>197</v>
      </c>
      <c r="E33" s="96" t="s">
        <v>250</v>
      </c>
      <c r="F33" s="94">
        <f t="shared" si="1"/>
        <v>7.4570000000000007</v>
      </c>
      <c r="G33" s="103">
        <v>10</v>
      </c>
      <c r="H33" s="96" t="s">
        <v>209</v>
      </c>
      <c r="I33" s="96" t="s">
        <v>200</v>
      </c>
      <c r="J33" s="183">
        <f t="shared" si="0"/>
        <v>1</v>
      </c>
      <c r="K33" s="115">
        <f t="shared" si="2"/>
        <v>65.32332000000001</v>
      </c>
      <c r="L33" s="116">
        <f t="shared" si="3"/>
        <v>36.434734963200007</v>
      </c>
      <c r="M33" s="116">
        <f t="shared" si="4"/>
        <v>3.9507543936000006E-3</v>
      </c>
      <c r="N33" s="116">
        <f t="shared" si="5"/>
        <v>5.6407993286400012E-4</v>
      </c>
      <c r="O33" s="95">
        <f>IFERROR(L33*'Fuel Usage Emissions'!$B$33+M33*'Fuel Usage Emissions'!$B$34+N33*'Fuel Usage Emissions'!$B$35,"")</f>
        <v>36.701599643033482</v>
      </c>
      <c r="P33" s="99"/>
      <c r="Q33" s="100"/>
    </row>
    <row r="34" spans="1:17" ht="9" customHeight="1">
      <c r="A34" s="97" t="s">
        <v>231</v>
      </c>
      <c r="B34" s="97" t="s">
        <v>256</v>
      </c>
      <c r="C34" s="96" t="s">
        <v>255</v>
      </c>
      <c r="D34" s="94" t="s">
        <v>197</v>
      </c>
      <c r="E34" s="96" t="s">
        <v>250</v>
      </c>
      <c r="F34" s="94">
        <f t="shared" si="1"/>
        <v>7.4570000000000007</v>
      </c>
      <c r="G34" s="103">
        <v>10</v>
      </c>
      <c r="H34" s="96" t="s">
        <v>209</v>
      </c>
      <c r="I34" s="96" t="s">
        <v>200</v>
      </c>
      <c r="J34" s="183">
        <f t="shared" si="0"/>
        <v>1</v>
      </c>
      <c r="K34" s="115">
        <f t="shared" si="2"/>
        <v>65.32332000000001</v>
      </c>
      <c r="L34" s="116">
        <f t="shared" si="3"/>
        <v>36.434734963200007</v>
      </c>
      <c r="M34" s="116">
        <f t="shared" si="4"/>
        <v>3.9507543936000006E-3</v>
      </c>
      <c r="N34" s="116">
        <f t="shared" si="5"/>
        <v>5.6407993286400012E-4</v>
      </c>
      <c r="O34" s="95">
        <f>IFERROR(L34*'Fuel Usage Emissions'!$B$33+M34*'Fuel Usage Emissions'!$B$34+N34*'Fuel Usage Emissions'!$B$35,"")</f>
        <v>36.701599643033482</v>
      </c>
      <c r="P34" s="99"/>
      <c r="Q34" s="100"/>
    </row>
    <row r="35" spans="1:17" ht="9.9499999999999993" customHeight="1">
      <c r="A35" s="97" t="s">
        <v>236</v>
      </c>
      <c r="B35" s="97" t="s">
        <v>257</v>
      </c>
      <c r="C35" s="96" t="s">
        <v>258</v>
      </c>
      <c r="D35" s="94" t="s">
        <v>197</v>
      </c>
      <c r="E35" s="96" t="s">
        <v>259</v>
      </c>
      <c r="F35" s="94">
        <f t="shared" si="1"/>
        <v>745.7</v>
      </c>
      <c r="G35" s="104">
        <v>1000</v>
      </c>
      <c r="H35" s="96" t="s">
        <v>199</v>
      </c>
      <c r="I35" s="96" t="s">
        <v>204</v>
      </c>
      <c r="J35" s="183">
        <f t="shared" si="0"/>
        <v>0.6</v>
      </c>
      <c r="K35" s="115">
        <f t="shared" si="2"/>
        <v>3919.3992000000003</v>
      </c>
      <c r="L35" s="116">
        <f t="shared" si="3"/>
        <v>2186.0840977920002</v>
      </c>
      <c r="M35" s="116">
        <f t="shared" si="4"/>
        <v>0.23704526361600001</v>
      </c>
      <c r="N35" s="116">
        <f t="shared" si="5"/>
        <v>3.3844795971840001E-2</v>
      </c>
      <c r="O35" s="95">
        <f>IFERROR(L35*'Fuel Usage Emissions'!$B$33+M35*'Fuel Usage Emissions'!$B$34+N35*'Fuel Usage Emissions'!$B$35,"")</f>
        <v>2202.0959785820087</v>
      </c>
      <c r="P35" s="91"/>
      <c r="Q35" s="92"/>
    </row>
    <row r="36" spans="1:17" ht="9" customHeight="1">
      <c r="A36" s="97" t="s">
        <v>236</v>
      </c>
      <c r="B36" s="97" t="s">
        <v>260</v>
      </c>
      <c r="C36" s="96" t="s">
        <v>258</v>
      </c>
      <c r="D36" s="94" t="s">
        <v>197</v>
      </c>
      <c r="E36" s="96" t="s">
        <v>259</v>
      </c>
      <c r="F36" s="94">
        <f t="shared" si="1"/>
        <v>745.7</v>
      </c>
      <c r="G36" s="104">
        <v>1000</v>
      </c>
      <c r="H36" s="96" t="s">
        <v>199</v>
      </c>
      <c r="I36" s="96" t="s">
        <v>204</v>
      </c>
      <c r="J36" s="183">
        <f t="shared" si="0"/>
        <v>0.6</v>
      </c>
      <c r="K36" s="115">
        <f t="shared" si="2"/>
        <v>3919.3992000000003</v>
      </c>
      <c r="L36" s="116">
        <f t="shared" si="3"/>
        <v>2186.0840977920002</v>
      </c>
      <c r="M36" s="116">
        <f t="shared" si="4"/>
        <v>0.23704526361600001</v>
      </c>
      <c r="N36" s="116">
        <f t="shared" si="5"/>
        <v>3.3844795971840001E-2</v>
      </c>
      <c r="O36" s="95">
        <f>IFERROR(L36*'Fuel Usage Emissions'!$B$33+M36*'Fuel Usage Emissions'!$B$34+N36*'Fuel Usage Emissions'!$B$35,"")</f>
        <v>2202.0959785820087</v>
      </c>
      <c r="P36" s="99"/>
      <c r="Q36" s="100"/>
    </row>
    <row r="37" spans="1:17" ht="9" customHeight="1">
      <c r="A37" s="97" t="s">
        <v>236</v>
      </c>
      <c r="B37" s="97" t="s">
        <v>261</v>
      </c>
      <c r="C37" s="96" t="s">
        <v>258</v>
      </c>
      <c r="D37" s="94" t="s">
        <v>197</v>
      </c>
      <c r="E37" s="96" t="s">
        <v>259</v>
      </c>
      <c r="F37" s="94">
        <f t="shared" si="1"/>
        <v>745.7</v>
      </c>
      <c r="G37" s="104">
        <v>1000</v>
      </c>
      <c r="H37" s="96" t="s">
        <v>199</v>
      </c>
      <c r="I37" s="96" t="s">
        <v>204</v>
      </c>
      <c r="J37" s="183">
        <f t="shared" si="0"/>
        <v>0.6</v>
      </c>
      <c r="K37" s="115">
        <f t="shared" si="2"/>
        <v>3919.3992000000003</v>
      </c>
      <c r="L37" s="116">
        <f t="shared" si="3"/>
        <v>2186.0840977920002</v>
      </c>
      <c r="M37" s="116">
        <f t="shared" si="4"/>
        <v>0.23704526361600001</v>
      </c>
      <c r="N37" s="116">
        <f t="shared" si="5"/>
        <v>3.3844795971840001E-2</v>
      </c>
      <c r="O37" s="95">
        <f>IFERROR(L37*'Fuel Usage Emissions'!$B$33+M37*'Fuel Usage Emissions'!$B$34+N37*'Fuel Usage Emissions'!$B$35,"")</f>
        <v>2202.0959785820087</v>
      </c>
      <c r="P37" s="99"/>
      <c r="Q37" s="100"/>
    </row>
    <row r="38" spans="1:17" ht="9" customHeight="1">
      <c r="A38" s="97" t="s">
        <v>236</v>
      </c>
      <c r="B38" s="97" t="s">
        <v>262</v>
      </c>
      <c r="C38" s="96" t="s">
        <v>258</v>
      </c>
      <c r="D38" s="94" t="s">
        <v>197</v>
      </c>
      <c r="E38" s="96" t="s">
        <v>259</v>
      </c>
      <c r="F38" s="94">
        <f t="shared" si="1"/>
        <v>745.7</v>
      </c>
      <c r="G38" s="104">
        <v>1000</v>
      </c>
      <c r="H38" s="96" t="s">
        <v>199</v>
      </c>
      <c r="I38" s="96" t="s">
        <v>204</v>
      </c>
      <c r="J38" s="183">
        <f t="shared" si="0"/>
        <v>0.6</v>
      </c>
      <c r="K38" s="115">
        <f t="shared" si="2"/>
        <v>3919.3992000000003</v>
      </c>
      <c r="L38" s="116">
        <f t="shared" si="3"/>
        <v>2186.0840977920002</v>
      </c>
      <c r="M38" s="116">
        <f t="shared" si="4"/>
        <v>0.23704526361600001</v>
      </c>
      <c r="N38" s="116">
        <f t="shared" si="5"/>
        <v>3.3844795971840001E-2</v>
      </c>
      <c r="O38" s="95">
        <f>IFERROR(L38*'Fuel Usage Emissions'!$B$33+M38*'Fuel Usage Emissions'!$B$34+N38*'Fuel Usage Emissions'!$B$35,"")</f>
        <v>2202.0959785820087</v>
      </c>
      <c r="P38" s="99"/>
      <c r="Q38" s="100"/>
    </row>
    <row r="39" spans="1:17" ht="9" customHeight="1">
      <c r="A39" s="97" t="s">
        <v>236</v>
      </c>
      <c r="B39" s="97" t="s">
        <v>263</v>
      </c>
      <c r="C39" s="96" t="s">
        <v>264</v>
      </c>
      <c r="D39" s="94" t="s">
        <v>197</v>
      </c>
      <c r="E39" s="96" t="s">
        <v>259</v>
      </c>
      <c r="F39" s="94">
        <f t="shared" si="1"/>
        <v>745.7</v>
      </c>
      <c r="G39" s="104">
        <v>1000</v>
      </c>
      <c r="H39" s="96" t="s">
        <v>209</v>
      </c>
      <c r="I39" s="96" t="s">
        <v>204</v>
      </c>
      <c r="J39" s="183">
        <f t="shared" si="0"/>
        <v>0.6</v>
      </c>
      <c r="K39" s="115">
        <f t="shared" si="2"/>
        <v>3919.3992000000003</v>
      </c>
      <c r="L39" s="116">
        <f t="shared" si="3"/>
        <v>2186.0840977920002</v>
      </c>
      <c r="M39" s="116">
        <f t="shared" si="4"/>
        <v>0.23704526361600001</v>
      </c>
      <c r="N39" s="116">
        <f t="shared" si="5"/>
        <v>3.3844795971840001E-2</v>
      </c>
      <c r="O39" s="95">
        <f>IFERROR(L39*'Fuel Usage Emissions'!$B$33+M39*'Fuel Usage Emissions'!$B$34+N39*'Fuel Usage Emissions'!$B$35,"")</f>
        <v>2202.0959785820087</v>
      </c>
      <c r="P39" s="99"/>
      <c r="Q39" s="100"/>
    </row>
    <row r="40" spans="1:17" ht="9.9499999999999993" customHeight="1">
      <c r="A40" s="97" t="s">
        <v>236</v>
      </c>
      <c r="B40" s="97" t="s">
        <v>265</v>
      </c>
      <c r="C40" s="96" t="s">
        <v>264</v>
      </c>
      <c r="D40" s="94" t="s">
        <v>197</v>
      </c>
      <c r="E40" s="96" t="s">
        <v>259</v>
      </c>
      <c r="F40" s="94">
        <f t="shared" si="1"/>
        <v>745.7</v>
      </c>
      <c r="G40" s="104">
        <v>1000</v>
      </c>
      <c r="H40" s="96" t="s">
        <v>209</v>
      </c>
      <c r="I40" s="96" t="s">
        <v>204</v>
      </c>
      <c r="J40" s="183">
        <f t="shared" si="0"/>
        <v>0.6</v>
      </c>
      <c r="K40" s="115">
        <f t="shared" si="2"/>
        <v>3919.3992000000003</v>
      </c>
      <c r="L40" s="116">
        <f t="shared" si="3"/>
        <v>2186.0840977920002</v>
      </c>
      <c r="M40" s="116">
        <f t="shared" si="4"/>
        <v>0.23704526361600001</v>
      </c>
      <c r="N40" s="116">
        <f t="shared" si="5"/>
        <v>3.3844795971840001E-2</v>
      </c>
      <c r="O40" s="95">
        <f>IFERROR(L40*'Fuel Usage Emissions'!$B$33+M40*'Fuel Usage Emissions'!$B$34+N40*'Fuel Usage Emissions'!$B$35,"")</f>
        <v>2202.0959785820087</v>
      </c>
      <c r="P40" s="91"/>
      <c r="Q40" s="92"/>
    </row>
    <row r="41" spans="1:17" ht="9" customHeight="1">
      <c r="A41" s="97" t="s">
        <v>236</v>
      </c>
      <c r="B41" s="97" t="s">
        <v>266</v>
      </c>
      <c r="C41" s="96" t="s">
        <v>224</v>
      </c>
      <c r="D41" s="94" t="s">
        <v>197</v>
      </c>
      <c r="E41" s="96" t="s">
        <v>225</v>
      </c>
      <c r="F41" s="94">
        <f t="shared" si="1"/>
        <v>11.185500000000001</v>
      </c>
      <c r="G41" s="103">
        <v>15</v>
      </c>
      <c r="H41" s="96" t="s">
        <v>209</v>
      </c>
      <c r="I41" s="96" t="s">
        <v>200</v>
      </c>
      <c r="J41" s="183">
        <f t="shared" si="0"/>
        <v>1</v>
      </c>
      <c r="K41" s="115">
        <f t="shared" si="2"/>
        <v>97.984980000000007</v>
      </c>
      <c r="L41" s="116">
        <f t="shared" si="3"/>
        <v>54.652102444800008</v>
      </c>
      <c r="M41" s="116">
        <f t="shared" si="4"/>
        <v>5.9261315904E-3</v>
      </c>
      <c r="N41" s="116">
        <f t="shared" si="5"/>
        <v>8.4611989929600008E-4</v>
      </c>
      <c r="O41" s="95">
        <f>IFERROR(L41*'Fuel Usage Emissions'!$B$33+M41*'Fuel Usage Emissions'!$B$34+N41*'Fuel Usage Emissions'!$B$35,"")</f>
        <v>55.05239946455022</v>
      </c>
      <c r="P41" s="99"/>
      <c r="Q41" s="100"/>
    </row>
    <row r="42" spans="1:17" ht="9" customHeight="1">
      <c r="A42" s="97" t="s">
        <v>236</v>
      </c>
      <c r="B42" s="97" t="s">
        <v>267</v>
      </c>
      <c r="C42" s="96" t="s">
        <v>268</v>
      </c>
      <c r="D42" s="94" t="s">
        <v>197</v>
      </c>
      <c r="E42" s="96" t="s">
        <v>259</v>
      </c>
      <c r="F42" s="94">
        <f t="shared" si="1"/>
        <v>745.7</v>
      </c>
      <c r="G42" s="104">
        <v>1000</v>
      </c>
      <c r="H42" s="96" t="s">
        <v>199</v>
      </c>
      <c r="I42" s="96" t="s">
        <v>204</v>
      </c>
      <c r="J42" s="183">
        <f t="shared" si="0"/>
        <v>0.6</v>
      </c>
      <c r="K42" s="115">
        <f t="shared" si="2"/>
        <v>3919.3992000000003</v>
      </c>
      <c r="L42" s="116">
        <f t="shared" si="3"/>
        <v>2186.0840977920002</v>
      </c>
      <c r="M42" s="116">
        <f t="shared" si="4"/>
        <v>0.23704526361600001</v>
      </c>
      <c r="N42" s="116">
        <f t="shared" si="5"/>
        <v>3.3844795971840001E-2</v>
      </c>
      <c r="O42" s="95">
        <f>IFERROR(L42*'Fuel Usage Emissions'!$B$33+M42*'Fuel Usage Emissions'!$B$34+N42*'Fuel Usage Emissions'!$B$35,"")</f>
        <v>2202.0959785820087</v>
      </c>
      <c r="P42" s="99"/>
      <c r="Q42" s="100"/>
    </row>
    <row r="43" spans="1:17" ht="9" customHeight="1">
      <c r="A43" s="97" t="s">
        <v>236</v>
      </c>
      <c r="B43" s="97" t="s">
        <v>269</v>
      </c>
      <c r="C43" s="96" t="s">
        <v>268</v>
      </c>
      <c r="D43" s="94" t="s">
        <v>197</v>
      </c>
      <c r="E43" s="96" t="s">
        <v>259</v>
      </c>
      <c r="F43" s="94">
        <f t="shared" si="1"/>
        <v>745.7</v>
      </c>
      <c r="G43" s="104">
        <v>1000</v>
      </c>
      <c r="H43" s="96" t="s">
        <v>199</v>
      </c>
      <c r="I43" s="96" t="s">
        <v>204</v>
      </c>
      <c r="J43" s="183">
        <f t="shared" si="0"/>
        <v>0.6</v>
      </c>
      <c r="K43" s="115">
        <f t="shared" si="2"/>
        <v>3919.3992000000003</v>
      </c>
      <c r="L43" s="116">
        <f t="shared" si="3"/>
        <v>2186.0840977920002</v>
      </c>
      <c r="M43" s="116">
        <f t="shared" si="4"/>
        <v>0.23704526361600001</v>
      </c>
      <c r="N43" s="116">
        <f t="shared" si="5"/>
        <v>3.3844795971840001E-2</v>
      </c>
      <c r="O43" s="95">
        <f>IFERROR(L43*'Fuel Usage Emissions'!$B$33+M43*'Fuel Usage Emissions'!$B$34+N43*'Fuel Usage Emissions'!$B$35,"")</f>
        <v>2202.0959785820087</v>
      </c>
      <c r="P43" s="99"/>
      <c r="Q43" s="100"/>
    </row>
    <row r="44" spans="1:17" ht="9" customHeight="1">
      <c r="A44" s="97" t="s">
        <v>270</v>
      </c>
      <c r="B44" s="97" t="s">
        <v>271</v>
      </c>
      <c r="C44" s="96" t="s">
        <v>272</v>
      </c>
      <c r="D44" s="94" t="s">
        <v>192</v>
      </c>
      <c r="E44" s="96" t="s">
        <v>273</v>
      </c>
      <c r="F44" s="94" t="str">
        <f t="shared" si="1"/>
        <v/>
      </c>
      <c r="G44" s="102" t="s">
        <v>170</v>
      </c>
      <c r="H44" s="96" t="s">
        <v>170</v>
      </c>
      <c r="I44" s="96" t="s">
        <v>170</v>
      </c>
      <c r="J44" s="183" t="str">
        <f t="shared" si="0"/>
        <v/>
      </c>
      <c r="K44" s="115" t="str">
        <f t="shared" si="2"/>
        <v/>
      </c>
      <c r="L44" s="116" t="str">
        <f t="shared" si="3"/>
        <v/>
      </c>
      <c r="M44" s="116" t="str">
        <f t="shared" si="4"/>
        <v/>
      </c>
      <c r="N44" s="116" t="str">
        <f t="shared" si="5"/>
        <v/>
      </c>
      <c r="O44" s="95" t="str">
        <f>IFERROR(L44*'Fuel Usage Emissions'!$B$33+M44*'Fuel Usage Emissions'!$B$34+N44*'Fuel Usage Emissions'!$B$35,"")</f>
        <v/>
      </c>
      <c r="P44" s="99"/>
      <c r="Q44" s="100"/>
    </row>
    <row r="45" spans="1:17" ht="9.9499999999999993" customHeight="1">
      <c r="A45" s="97" t="s">
        <v>270</v>
      </c>
      <c r="B45" s="97" t="s">
        <v>274</v>
      </c>
      <c r="C45" s="96" t="s">
        <v>272</v>
      </c>
      <c r="D45" s="94" t="s">
        <v>192</v>
      </c>
      <c r="E45" s="96" t="s">
        <v>273</v>
      </c>
      <c r="F45" s="94" t="str">
        <f t="shared" si="1"/>
        <v/>
      </c>
      <c r="G45" s="102" t="s">
        <v>170</v>
      </c>
      <c r="H45" s="96" t="s">
        <v>170</v>
      </c>
      <c r="I45" s="96" t="s">
        <v>170</v>
      </c>
      <c r="J45" s="183" t="str">
        <f t="shared" si="0"/>
        <v/>
      </c>
      <c r="K45" s="115" t="str">
        <f t="shared" si="2"/>
        <v/>
      </c>
      <c r="L45" s="116" t="str">
        <f t="shared" si="3"/>
        <v/>
      </c>
      <c r="M45" s="116" t="str">
        <f t="shared" si="4"/>
        <v/>
      </c>
      <c r="N45" s="116" t="str">
        <f t="shared" si="5"/>
        <v/>
      </c>
      <c r="O45" s="95" t="str">
        <f>IFERROR(L45*'Fuel Usage Emissions'!$B$33+M45*'Fuel Usage Emissions'!$B$34+N45*'Fuel Usage Emissions'!$B$35,"")</f>
        <v/>
      </c>
      <c r="P45" s="91"/>
      <c r="Q45" s="92"/>
    </row>
    <row r="46" spans="1:17" ht="8.85" customHeight="1">
      <c r="A46" s="97" t="s">
        <v>270</v>
      </c>
      <c r="B46" s="97" t="s">
        <v>275</v>
      </c>
      <c r="C46" s="96" t="s">
        <v>272</v>
      </c>
      <c r="D46" s="94" t="s">
        <v>192</v>
      </c>
      <c r="E46" s="96" t="s">
        <v>273</v>
      </c>
      <c r="F46" s="94" t="str">
        <f t="shared" si="1"/>
        <v/>
      </c>
      <c r="G46" s="102" t="s">
        <v>170</v>
      </c>
      <c r="H46" s="96" t="s">
        <v>170</v>
      </c>
      <c r="I46" s="96" t="s">
        <v>170</v>
      </c>
      <c r="J46" s="183" t="str">
        <f t="shared" si="0"/>
        <v/>
      </c>
      <c r="K46" s="115" t="str">
        <f t="shared" si="2"/>
        <v/>
      </c>
      <c r="L46" s="116" t="str">
        <f t="shared" si="3"/>
        <v/>
      </c>
      <c r="M46" s="116" t="str">
        <f t="shared" si="4"/>
        <v/>
      </c>
      <c r="N46" s="116" t="str">
        <f t="shared" si="5"/>
        <v/>
      </c>
      <c r="O46" s="95" t="str">
        <f>IFERROR(L46*'Fuel Usage Emissions'!$B$33+M46*'Fuel Usage Emissions'!$B$34+N46*'Fuel Usage Emissions'!$B$35,"")</f>
        <v/>
      </c>
      <c r="P46" s="99"/>
      <c r="Q46" s="100"/>
    </row>
    <row r="47" spans="1:17" ht="9" customHeight="1">
      <c r="A47" s="97" t="s">
        <v>270</v>
      </c>
      <c r="B47" s="97" t="s">
        <v>276</v>
      </c>
      <c r="C47" s="96" t="s">
        <v>277</v>
      </c>
      <c r="D47" s="94" t="s">
        <v>197</v>
      </c>
      <c r="E47" s="96" t="s">
        <v>278</v>
      </c>
      <c r="F47" s="94">
        <f t="shared" si="1"/>
        <v>74.570000000000007</v>
      </c>
      <c r="G47" s="103">
        <v>100</v>
      </c>
      <c r="H47" s="96" t="s">
        <v>199</v>
      </c>
      <c r="I47" s="96" t="s">
        <v>200</v>
      </c>
      <c r="J47" s="183">
        <f t="shared" si="0"/>
        <v>1</v>
      </c>
      <c r="K47" s="115">
        <f t="shared" si="2"/>
        <v>653.23320000000012</v>
      </c>
      <c r="L47" s="116">
        <f t="shared" si="3"/>
        <v>364.34734963200009</v>
      </c>
      <c r="M47" s="116">
        <f t="shared" si="4"/>
        <v>3.9507543936000006E-2</v>
      </c>
      <c r="N47" s="116">
        <f t="shared" si="5"/>
        <v>5.6407993286400008E-3</v>
      </c>
      <c r="O47" s="95">
        <f>IFERROR(L47*'Fuel Usage Emissions'!$B$33+M47*'Fuel Usage Emissions'!$B$34+N47*'Fuel Usage Emissions'!$B$35,"")</f>
        <v>367.01599643033478</v>
      </c>
      <c r="P47" s="99"/>
      <c r="Q47" s="100"/>
    </row>
    <row r="48" spans="1:17" ht="9" customHeight="1">
      <c r="A48" s="97" t="s">
        <v>279</v>
      </c>
      <c r="B48" s="97" t="s">
        <v>280</v>
      </c>
      <c r="C48" s="96" t="s">
        <v>281</v>
      </c>
      <c r="D48" s="94" t="s">
        <v>197</v>
      </c>
      <c r="E48" s="96" t="s">
        <v>282</v>
      </c>
      <c r="F48" s="94">
        <f>IF(ISNUMBER(G48),G48*0.7457,"")</f>
        <v>74.570000000000007</v>
      </c>
      <c r="G48" s="103">
        <v>100</v>
      </c>
      <c r="H48" s="96" t="s">
        <v>199</v>
      </c>
      <c r="I48" s="96" t="s">
        <v>200</v>
      </c>
      <c r="J48" s="183">
        <f t="shared" si="0"/>
        <v>1</v>
      </c>
      <c r="K48" s="115">
        <f t="shared" si="2"/>
        <v>653.23320000000012</v>
      </c>
      <c r="L48" s="116">
        <f t="shared" si="3"/>
        <v>364.34734963200009</v>
      </c>
      <c r="M48" s="116">
        <f t="shared" si="4"/>
        <v>3.9507543936000006E-2</v>
      </c>
      <c r="N48" s="116">
        <f t="shared" si="5"/>
        <v>5.6407993286400008E-3</v>
      </c>
      <c r="O48" s="95">
        <f>IFERROR(L48*'Fuel Usage Emissions'!$B$33+M48*'Fuel Usage Emissions'!$B$34+N48*'Fuel Usage Emissions'!$B$35,"")</f>
        <v>367.01599643033478</v>
      </c>
      <c r="P48" s="99"/>
      <c r="Q48" s="100"/>
    </row>
    <row r="49" spans="1:17" ht="9" customHeight="1">
      <c r="A49" s="97" t="s">
        <v>279</v>
      </c>
      <c r="B49" s="97" t="s">
        <v>283</v>
      </c>
      <c r="C49" s="96" t="s">
        <v>284</v>
      </c>
      <c r="D49" s="94" t="s">
        <v>192</v>
      </c>
      <c r="E49" s="96" t="s">
        <v>285</v>
      </c>
      <c r="F49" s="94" t="str">
        <f t="shared" si="1"/>
        <v/>
      </c>
      <c r="G49" s="102" t="s">
        <v>170</v>
      </c>
      <c r="H49" s="96" t="s">
        <v>199</v>
      </c>
      <c r="I49" s="96" t="s">
        <v>286</v>
      </c>
      <c r="J49" s="183" t="str">
        <f t="shared" si="0"/>
        <v/>
      </c>
      <c r="K49" s="115" t="str">
        <f t="shared" si="2"/>
        <v/>
      </c>
      <c r="L49" s="116" t="str">
        <f t="shared" si="3"/>
        <v/>
      </c>
      <c r="M49" s="116" t="str">
        <f t="shared" si="4"/>
        <v/>
      </c>
      <c r="N49" s="116" t="str">
        <f t="shared" si="5"/>
        <v/>
      </c>
      <c r="O49" s="95" t="str">
        <f>IFERROR(L49*'Fuel Usage Emissions'!$B$33+M49*'Fuel Usage Emissions'!$B$34+N49*'Fuel Usage Emissions'!$B$35,"")</f>
        <v/>
      </c>
      <c r="P49" s="99"/>
      <c r="Q49" s="100"/>
    </row>
    <row r="50" spans="1:17" ht="9.9499999999999993" customHeight="1">
      <c r="A50" s="97" t="s">
        <v>279</v>
      </c>
      <c r="B50" s="97" t="s">
        <v>287</v>
      </c>
      <c r="C50" s="96" t="s">
        <v>284</v>
      </c>
      <c r="D50" s="94" t="s">
        <v>192</v>
      </c>
      <c r="E50" s="96" t="s">
        <v>285</v>
      </c>
      <c r="F50" s="94" t="str">
        <f t="shared" si="1"/>
        <v/>
      </c>
      <c r="G50" s="102" t="s">
        <v>170</v>
      </c>
      <c r="H50" s="96" t="s">
        <v>199</v>
      </c>
      <c r="I50" s="96" t="s">
        <v>286</v>
      </c>
      <c r="J50" s="183" t="str">
        <f t="shared" si="0"/>
        <v/>
      </c>
      <c r="K50" s="115" t="str">
        <f t="shared" si="2"/>
        <v/>
      </c>
      <c r="L50" s="116" t="str">
        <f t="shared" si="3"/>
        <v/>
      </c>
      <c r="M50" s="116" t="str">
        <f t="shared" si="4"/>
        <v/>
      </c>
      <c r="N50" s="116" t="str">
        <f t="shared" si="5"/>
        <v/>
      </c>
      <c r="O50" s="95" t="str">
        <f>IFERROR(L50*'Fuel Usage Emissions'!$B$33+M50*'Fuel Usage Emissions'!$B$34+N50*'Fuel Usage Emissions'!$B$35,"")</f>
        <v/>
      </c>
      <c r="P50" s="91"/>
      <c r="Q50" s="92"/>
    </row>
    <row r="51" spans="1:17" ht="9" customHeight="1">
      <c r="A51" s="97" t="s">
        <v>279</v>
      </c>
      <c r="B51" s="97" t="s">
        <v>288</v>
      </c>
      <c r="C51" s="96" t="s">
        <v>289</v>
      </c>
      <c r="D51" s="94" t="s">
        <v>192</v>
      </c>
      <c r="E51" s="96" t="s">
        <v>290</v>
      </c>
      <c r="F51" s="94" t="str">
        <f t="shared" si="1"/>
        <v/>
      </c>
      <c r="G51" s="102" t="s">
        <v>170</v>
      </c>
      <c r="H51" s="96" t="s">
        <v>199</v>
      </c>
      <c r="I51" s="96" t="s">
        <v>170</v>
      </c>
      <c r="J51" s="183" t="str">
        <f t="shared" si="0"/>
        <v/>
      </c>
      <c r="K51" s="115" t="str">
        <f t="shared" si="2"/>
        <v/>
      </c>
      <c r="L51" s="116" t="str">
        <f t="shared" si="3"/>
        <v/>
      </c>
      <c r="M51" s="116" t="str">
        <f t="shared" si="4"/>
        <v/>
      </c>
      <c r="N51" s="116" t="str">
        <f t="shared" si="5"/>
        <v/>
      </c>
      <c r="O51" s="95" t="str">
        <f>IFERROR(L51*'Fuel Usage Emissions'!$B$33+M51*'Fuel Usage Emissions'!$B$34+N51*'Fuel Usage Emissions'!$B$35,"")</f>
        <v/>
      </c>
      <c r="P51" s="95"/>
      <c r="Q51" s="96" t="s">
        <v>291</v>
      </c>
    </row>
    <row r="52" spans="1:17" ht="9" customHeight="1">
      <c r="A52" s="97"/>
      <c r="B52" s="97"/>
      <c r="C52" s="96" t="s">
        <v>292</v>
      </c>
      <c r="D52" s="94" t="s">
        <v>197</v>
      </c>
      <c r="E52" s="125" t="s">
        <v>293</v>
      </c>
      <c r="F52" s="94">
        <f>15.2*2000/8760</f>
        <v>3.4703196347031962</v>
      </c>
      <c r="G52" s="102" t="s">
        <v>135</v>
      </c>
      <c r="H52" s="96"/>
      <c r="I52" s="96"/>
      <c r="J52" s="183">
        <v>1</v>
      </c>
      <c r="K52" s="115">
        <f>IFERROR(F52*J52*8760/1000,"")</f>
        <v>30.4</v>
      </c>
      <c r="L52" s="116">
        <f t="shared" si="3"/>
        <v>16.955904</v>
      </c>
      <c r="M52" s="116">
        <f t="shared" si="4"/>
        <v>1.8385919999999998E-3</v>
      </c>
      <c r="N52" s="116">
        <f t="shared" si="5"/>
        <v>2.6251007999999998E-4</v>
      </c>
      <c r="O52" s="95">
        <f>IFERROR(L52*'Fuel Usage Emissions'!$B$33+M52*'Fuel Usage Emissions'!$B$34+N52*'Fuel Usage Emissions'!$B$35,"")</f>
        <v>17.08009680384</v>
      </c>
      <c r="P52" s="95"/>
      <c r="Q52" s="95"/>
    </row>
    <row r="53" spans="1:17" ht="9" customHeight="1">
      <c r="A53" s="97" t="s">
        <v>279</v>
      </c>
      <c r="B53" s="101"/>
      <c r="C53" s="96" t="s">
        <v>294</v>
      </c>
      <c r="D53" s="94" t="s">
        <v>192</v>
      </c>
      <c r="E53" s="96" t="s">
        <v>295</v>
      </c>
      <c r="F53" s="94"/>
      <c r="G53" s="101"/>
      <c r="H53" s="100"/>
      <c r="I53" s="100"/>
      <c r="J53" s="184"/>
      <c r="K53" s="99"/>
      <c r="L53" s="116"/>
      <c r="M53" s="116"/>
      <c r="N53" s="116"/>
      <c r="O53" s="95"/>
      <c r="P53" s="99"/>
      <c r="Q53" s="98"/>
    </row>
    <row r="54" spans="1:17" ht="9" customHeight="1">
      <c r="A54" s="97" t="s">
        <v>279</v>
      </c>
      <c r="B54" s="101"/>
      <c r="C54" s="96" t="s">
        <v>294</v>
      </c>
      <c r="D54" s="94" t="s">
        <v>192</v>
      </c>
      <c r="E54" s="96" t="s">
        <v>295</v>
      </c>
      <c r="F54" s="94"/>
      <c r="G54" s="101"/>
      <c r="H54" s="100"/>
      <c r="I54" s="100"/>
      <c r="J54" s="184"/>
      <c r="K54" s="99"/>
      <c r="L54" s="116"/>
      <c r="M54" s="116"/>
      <c r="N54" s="116"/>
      <c r="O54" s="95"/>
      <c r="P54" s="99"/>
      <c r="Q54" s="98"/>
    </row>
    <row r="55" spans="1:17" ht="9" customHeight="1">
      <c r="A55" s="97" t="s">
        <v>279</v>
      </c>
      <c r="B55" s="93"/>
      <c r="C55" s="96" t="s">
        <v>294</v>
      </c>
      <c r="D55" s="94" t="s">
        <v>192</v>
      </c>
      <c r="E55" s="96" t="s">
        <v>295</v>
      </c>
      <c r="F55" s="94"/>
      <c r="G55" s="101"/>
      <c r="H55" s="100"/>
      <c r="I55" s="100"/>
      <c r="J55" s="184"/>
      <c r="K55" s="99"/>
      <c r="L55" s="116"/>
      <c r="M55" s="116"/>
      <c r="N55" s="116"/>
      <c r="O55" s="95"/>
      <c r="P55" s="99"/>
      <c r="Q55" s="98"/>
    </row>
    <row r="56" spans="1:17" ht="9" customHeight="1">
      <c r="A56" s="179"/>
      <c r="B56" s="180"/>
      <c r="C56" s="96" t="s">
        <v>296</v>
      </c>
      <c r="D56" s="94" t="s">
        <v>197</v>
      </c>
      <c r="E56" s="178" t="s">
        <v>297</v>
      </c>
      <c r="F56" s="94">
        <f t="shared" ref="F56:F71" si="6">IF(ISNUMBER(G56),G56*0.7457,"")</f>
        <v>7.4570000000000007</v>
      </c>
      <c r="G56" s="103">
        <v>10</v>
      </c>
      <c r="H56" s="181"/>
      <c r="I56" s="178" t="s">
        <v>200</v>
      </c>
      <c r="J56" s="183">
        <f t="shared" ref="J56:J71" si="7">IF(I56="Fixed Speed",100%,IF(I56="Variable Frequency",60%,""))</f>
        <v>1</v>
      </c>
      <c r="K56" s="115">
        <f t="shared" ref="K56:K71" si="8">IFERROR(F56*J56*8760/1000,"")</f>
        <v>65.32332000000001</v>
      </c>
      <c r="L56" s="116">
        <f>IFERROR($K56*$M$73,"")</f>
        <v>36.434734963200007</v>
      </c>
      <c r="M56" s="116">
        <f>IFERROR($K56*$O$73,"")</f>
        <v>3.9507543936000006E-3</v>
      </c>
      <c r="N56" s="116">
        <f>IFERROR($K56*$Q$73,"")</f>
        <v>5.6407993286400012E-4</v>
      </c>
      <c r="O56" s="95">
        <f>IFERROR(L56*'Fuel Usage Emissions'!$B$33+M56*'Fuel Usage Emissions'!$B$34+N56*'Fuel Usage Emissions'!$B$35,"")</f>
        <v>36.701599643033482</v>
      </c>
      <c r="P56" s="99"/>
      <c r="Q56" s="98"/>
    </row>
    <row r="57" spans="1:17" ht="9" customHeight="1">
      <c r="A57" s="179"/>
      <c r="B57" s="180"/>
      <c r="C57" s="96" t="s">
        <v>298</v>
      </c>
      <c r="D57" s="94" t="s">
        <v>197</v>
      </c>
      <c r="E57" s="178" t="s">
        <v>299</v>
      </c>
      <c r="F57" s="94">
        <f t="shared" si="6"/>
        <v>74.570000000000007</v>
      </c>
      <c r="G57" s="103">
        <f>50*2</f>
        <v>100</v>
      </c>
      <c r="H57" s="181"/>
      <c r="I57" s="178" t="s">
        <v>200</v>
      </c>
      <c r="J57" s="183">
        <f t="shared" si="7"/>
        <v>1</v>
      </c>
      <c r="K57" s="115">
        <f t="shared" si="8"/>
        <v>653.23320000000012</v>
      </c>
      <c r="L57" s="116">
        <f t="shared" ref="L57:L71" si="9">IFERROR($K57*$M$73,"")</f>
        <v>364.34734963200009</v>
      </c>
      <c r="M57" s="116">
        <f t="shared" ref="M57:M71" si="10">IFERROR($K57*$O$73,"")</f>
        <v>3.9507543936000006E-2</v>
      </c>
      <c r="N57" s="116">
        <f t="shared" ref="N57:N71" si="11">IFERROR($K57*$Q$73,"")</f>
        <v>5.6407993286400008E-3</v>
      </c>
      <c r="O57" s="95">
        <f>IFERROR(L57*'Fuel Usage Emissions'!$B$33+M57*'Fuel Usage Emissions'!$B$34+N57*'Fuel Usage Emissions'!$B$35,"")</f>
        <v>367.01599643033478</v>
      </c>
      <c r="P57" s="99"/>
      <c r="Q57" s="98"/>
    </row>
    <row r="58" spans="1:17" ht="9" customHeight="1">
      <c r="A58" s="179"/>
      <c r="B58" s="180"/>
      <c r="C58" s="96" t="s">
        <v>300</v>
      </c>
      <c r="D58" s="94" t="s">
        <v>197</v>
      </c>
      <c r="E58" s="178" t="s">
        <v>299</v>
      </c>
      <c r="F58" s="94">
        <f t="shared" si="6"/>
        <v>111.855</v>
      </c>
      <c r="G58" s="103">
        <f>75*2</f>
        <v>150</v>
      </c>
      <c r="H58" s="181"/>
      <c r="I58" s="178" t="s">
        <v>200</v>
      </c>
      <c r="J58" s="183">
        <f t="shared" si="7"/>
        <v>1</v>
      </c>
      <c r="K58" s="115">
        <f t="shared" si="8"/>
        <v>979.84980000000007</v>
      </c>
      <c r="L58" s="116">
        <f t="shared" si="9"/>
        <v>546.52102444800005</v>
      </c>
      <c r="M58" s="116">
        <f t="shared" si="10"/>
        <v>5.9261315904000002E-2</v>
      </c>
      <c r="N58" s="116">
        <f t="shared" si="11"/>
        <v>8.4611989929600003E-3</v>
      </c>
      <c r="O58" s="95">
        <f>IFERROR(L58*'Fuel Usage Emissions'!$B$33+M58*'Fuel Usage Emissions'!$B$34+N58*'Fuel Usage Emissions'!$B$35,"")</f>
        <v>550.52399464550217</v>
      </c>
      <c r="P58" s="99"/>
      <c r="Q58" s="98"/>
    </row>
    <row r="59" spans="1:17" ht="9" customHeight="1">
      <c r="A59" s="179"/>
      <c r="B59" s="180"/>
      <c r="C59" s="96" t="s">
        <v>301</v>
      </c>
      <c r="D59" s="94" t="s">
        <v>197</v>
      </c>
      <c r="E59" s="178" t="s">
        <v>302</v>
      </c>
      <c r="F59" s="94">
        <f t="shared" si="6"/>
        <v>186.42500000000001</v>
      </c>
      <c r="G59" s="103">
        <v>250</v>
      </c>
      <c r="H59" s="181"/>
      <c r="I59" s="178" t="s">
        <v>200</v>
      </c>
      <c r="J59" s="183">
        <f t="shared" si="7"/>
        <v>1</v>
      </c>
      <c r="K59" s="115">
        <f t="shared" si="8"/>
        <v>1633.0830000000001</v>
      </c>
      <c r="L59" s="116">
        <f t="shared" si="9"/>
        <v>910.86837408000008</v>
      </c>
      <c r="M59" s="116">
        <f t="shared" si="10"/>
        <v>9.8768859840000001E-2</v>
      </c>
      <c r="N59" s="116">
        <f t="shared" si="11"/>
        <v>1.4101998321600001E-2</v>
      </c>
      <c r="O59" s="95">
        <f>IFERROR(L59*'Fuel Usage Emissions'!$B$33+M59*'Fuel Usage Emissions'!$B$34+N59*'Fuel Usage Emissions'!$B$35,"")</f>
        <v>917.53999107583695</v>
      </c>
      <c r="P59" s="99"/>
      <c r="Q59" s="98"/>
    </row>
    <row r="60" spans="1:17" ht="9" customHeight="1">
      <c r="A60" s="179"/>
      <c r="B60" s="180"/>
      <c r="C60" s="96" t="s">
        <v>303</v>
      </c>
      <c r="D60" s="94" t="s">
        <v>197</v>
      </c>
      <c r="E60" s="178" t="s">
        <v>302</v>
      </c>
      <c r="F60" s="94">
        <f t="shared" si="6"/>
        <v>44.742000000000004</v>
      </c>
      <c r="G60" s="103">
        <v>60</v>
      </c>
      <c r="H60" s="181"/>
      <c r="I60" s="178" t="s">
        <v>200</v>
      </c>
      <c r="J60" s="183">
        <f t="shared" si="7"/>
        <v>1</v>
      </c>
      <c r="K60" s="115">
        <f t="shared" si="8"/>
        <v>391.93992000000003</v>
      </c>
      <c r="L60" s="116">
        <f t="shared" si="9"/>
        <v>218.60840977920003</v>
      </c>
      <c r="M60" s="116">
        <f t="shared" si="10"/>
        <v>2.37045263616E-2</v>
      </c>
      <c r="N60" s="116">
        <f t="shared" si="11"/>
        <v>3.3844795971840003E-3</v>
      </c>
      <c r="O60" s="95">
        <f>IFERROR(L60*'Fuel Usage Emissions'!$B$33+M60*'Fuel Usage Emissions'!$B$34+N60*'Fuel Usage Emissions'!$B$35,"")</f>
        <v>220.20959785820088</v>
      </c>
      <c r="P60" s="99"/>
      <c r="Q60" s="98"/>
    </row>
    <row r="61" spans="1:17" ht="9" customHeight="1">
      <c r="A61" s="179"/>
      <c r="B61" s="180"/>
      <c r="C61" s="96" t="s">
        <v>304</v>
      </c>
      <c r="D61" s="94" t="s">
        <v>197</v>
      </c>
      <c r="E61" s="178" t="s">
        <v>302</v>
      </c>
      <c r="F61" s="94">
        <f t="shared" si="6"/>
        <v>223.71</v>
      </c>
      <c r="G61" s="103">
        <v>300</v>
      </c>
      <c r="H61" s="181"/>
      <c r="I61" s="178" t="s">
        <v>200</v>
      </c>
      <c r="J61" s="183">
        <f t="shared" si="7"/>
        <v>1</v>
      </c>
      <c r="K61" s="115">
        <f t="shared" si="8"/>
        <v>1959.6996000000001</v>
      </c>
      <c r="L61" s="116">
        <f t="shared" si="9"/>
        <v>1093.0420488960001</v>
      </c>
      <c r="M61" s="116">
        <f t="shared" si="10"/>
        <v>0.118522631808</v>
      </c>
      <c r="N61" s="116">
        <f t="shared" si="11"/>
        <v>1.6922397985920001E-2</v>
      </c>
      <c r="O61" s="95">
        <f>IFERROR(L61*'Fuel Usage Emissions'!$B$33+M61*'Fuel Usage Emissions'!$B$34+N61*'Fuel Usage Emissions'!$B$35,"")</f>
        <v>1101.0479892910043</v>
      </c>
      <c r="P61" s="99"/>
      <c r="Q61" s="98"/>
    </row>
    <row r="62" spans="1:17" ht="9" customHeight="1">
      <c r="A62" s="179"/>
      <c r="B62" s="180"/>
      <c r="C62" s="96" t="s">
        <v>305</v>
      </c>
      <c r="D62" s="94" t="s">
        <v>197</v>
      </c>
      <c r="E62" s="178" t="s">
        <v>302</v>
      </c>
      <c r="F62" s="94">
        <f t="shared" si="6"/>
        <v>11.185500000000001</v>
      </c>
      <c r="G62" s="103">
        <v>15</v>
      </c>
      <c r="H62" s="181"/>
      <c r="I62" s="178" t="s">
        <v>200</v>
      </c>
      <c r="J62" s="183">
        <f t="shared" si="7"/>
        <v>1</v>
      </c>
      <c r="K62" s="115">
        <f t="shared" si="8"/>
        <v>97.984980000000007</v>
      </c>
      <c r="L62" s="116">
        <f t="shared" si="9"/>
        <v>54.652102444800008</v>
      </c>
      <c r="M62" s="116">
        <f t="shared" si="10"/>
        <v>5.9261315904E-3</v>
      </c>
      <c r="N62" s="116">
        <f t="shared" si="11"/>
        <v>8.4611989929600008E-4</v>
      </c>
      <c r="O62" s="95">
        <f>IFERROR(L62*'Fuel Usage Emissions'!$B$33+M62*'Fuel Usage Emissions'!$B$34+N62*'Fuel Usage Emissions'!$B$35,"")</f>
        <v>55.05239946455022</v>
      </c>
      <c r="P62" s="99"/>
      <c r="Q62" s="98"/>
    </row>
    <row r="63" spans="1:17" ht="9" customHeight="1">
      <c r="A63" s="179"/>
      <c r="B63" s="180"/>
      <c r="C63" s="96" t="s">
        <v>306</v>
      </c>
      <c r="D63" s="94" t="s">
        <v>197</v>
      </c>
      <c r="E63" s="178" t="s">
        <v>302</v>
      </c>
      <c r="F63" s="94">
        <f t="shared" si="6"/>
        <v>11.185500000000001</v>
      </c>
      <c r="G63" s="103">
        <v>15</v>
      </c>
      <c r="H63" s="181"/>
      <c r="I63" s="178" t="s">
        <v>200</v>
      </c>
      <c r="J63" s="183">
        <f t="shared" si="7"/>
        <v>1</v>
      </c>
      <c r="K63" s="115">
        <f t="shared" si="8"/>
        <v>97.984980000000007</v>
      </c>
      <c r="L63" s="116">
        <f t="shared" si="9"/>
        <v>54.652102444800008</v>
      </c>
      <c r="M63" s="116">
        <f t="shared" si="10"/>
        <v>5.9261315904E-3</v>
      </c>
      <c r="N63" s="116">
        <f t="shared" si="11"/>
        <v>8.4611989929600008E-4</v>
      </c>
      <c r="O63" s="95">
        <f>IFERROR(L63*'Fuel Usage Emissions'!$B$33+M63*'Fuel Usage Emissions'!$B$34+N63*'Fuel Usage Emissions'!$B$35,"")</f>
        <v>55.05239946455022</v>
      </c>
      <c r="P63" s="99"/>
      <c r="Q63" s="98"/>
    </row>
    <row r="64" spans="1:17" ht="9" customHeight="1">
      <c r="A64" s="179"/>
      <c r="B64" s="180"/>
      <c r="C64" s="96" t="s">
        <v>307</v>
      </c>
      <c r="D64" s="94" t="s">
        <v>197</v>
      </c>
      <c r="E64" s="178" t="s">
        <v>297</v>
      </c>
      <c r="F64" s="94">
        <f t="shared" si="6"/>
        <v>11.185500000000001</v>
      </c>
      <c r="G64" s="103">
        <v>15</v>
      </c>
      <c r="H64" s="181"/>
      <c r="I64" s="178" t="s">
        <v>200</v>
      </c>
      <c r="J64" s="183">
        <f t="shared" si="7"/>
        <v>1</v>
      </c>
      <c r="K64" s="115">
        <f t="shared" si="8"/>
        <v>97.984980000000007</v>
      </c>
      <c r="L64" s="116">
        <f t="shared" si="9"/>
        <v>54.652102444800008</v>
      </c>
      <c r="M64" s="116">
        <f t="shared" si="10"/>
        <v>5.9261315904E-3</v>
      </c>
      <c r="N64" s="116">
        <f t="shared" si="11"/>
        <v>8.4611989929600008E-4</v>
      </c>
      <c r="O64" s="95">
        <f>IFERROR(L64*'Fuel Usage Emissions'!$B$33+M64*'Fuel Usage Emissions'!$B$34+N64*'Fuel Usage Emissions'!$B$35,"")</f>
        <v>55.05239946455022</v>
      </c>
      <c r="P64" s="99"/>
      <c r="Q64" s="98"/>
    </row>
    <row r="65" spans="1:17" ht="9" customHeight="1">
      <c r="A65" s="179"/>
      <c r="B65" s="180"/>
      <c r="C65" s="96" t="s">
        <v>308</v>
      </c>
      <c r="D65" s="94" t="s">
        <v>197</v>
      </c>
      <c r="E65" s="178" t="s">
        <v>309</v>
      </c>
      <c r="F65" s="94">
        <f t="shared" si="6"/>
        <v>3728.5</v>
      </c>
      <c r="G65" s="103">
        <f>1000*5</f>
        <v>5000</v>
      </c>
      <c r="H65" s="181"/>
      <c r="I65" s="178" t="s">
        <v>200</v>
      </c>
      <c r="J65" s="183">
        <f t="shared" si="7"/>
        <v>1</v>
      </c>
      <c r="K65" s="115">
        <f t="shared" si="8"/>
        <v>32661.66</v>
      </c>
      <c r="L65" s="116">
        <f t="shared" si="9"/>
        <v>18217.367481600002</v>
      </c>
      <c r="M65" s="116">
        <f t="shared" si="10"/>
        <v>1.9753771967999998</v>
      </c>
      <c r="N65" s="116">
        <f t="shared" si="11"/>
        <v>0.28203996643200002</v>
      </c>
      <c r="O65" s="95">
        <f>IFERROR(L65*'Fuel Usage Emissions'!$B$33+M65*'Fuel Usage Emissions'!$B$34+N65*'Fuel Usage Emissions'!$B$35,"")</f>
        <v>18350.799821516735</v>
      </c>
      <c r="P65" s="99"/>
      <c r="Q65" s="98"/>
    </row>
    <row r="66" spans="1:17" ht="9" customHeight="1">
      <c r="A66" s="179"/>
      <c r="B66" s="180"/>
      <c r="C66" s="96" t="s">
        <v>310</v>
      </c>
      <c r="D66" s="94" t="s">
        <v>197</v>
      </c>
      <c r="E66" s="178" t="s">
        <v>302</v>
      </c>
      <c r="F66" s="94">
        <f t="shared" si="6"/>
        <v>186.42500000000001</v>
      </c>
      <c r="G66" s="103">
        <v>250</v>
      </c>
      <c r="H66" s="181"/>
      <c r="I66" s="178" t="s">
        <v>200</v>
      </c>
      <c r="J66" s="183">
        <f t="shared" si="7"/>
        <v>1</v>
      </c>
      <c r="K66" s="115">
        <f t="shared" si="8"/>
        <v>1633.0830000000001</v>
      </c>
      <c r="L66" s="116">
        <f t="shared" si="9"/>
        <v>910.86837408000008</v>
      </c>
      <c r="M66" s="116">
        <f t="shared" si="10"/>
        <v>9.8768859840000001E-2</v>
      </c>
      <c r="N66" s="116">
        <f t="shared" si="11"/>
        <v>1.4101998321600001E-2</v>
      </c>
      <c r="O66" s="95">
        <f>IFERROR(L66*'Fuel Usage Emissions'!$B$33+M66*'Fuel Usage Emissions'!$B$34+N66*'Fuel Usage Emissions'!$B$35,"")</f>
        <v>917.53999107583695</v>
      </c>
      <c r="P66" s="99"/>
      <c r="Q66" s="98"/>
    </row>
    <row r="67" spans="1:17" ht="9" customHeight="1">
      <c r="A67" s="179"/>
      <c r="B67" s="180"/>
      <c r="C67" s="96" t="s">
        <v>311</v>
      </c>
      <c r="D67" s="94" t="s">
        <v>197</v>
      </c>
      <c r="E67" s="178" t="s">
        <v>312</v>
      </c>
      <c r="F67" s="94">
        <f t="shared" si="6"/>
        <v>37.285000000000004</v>
      </c>
      <c r="G67" s="103">
        <f>10*5</f>
        <v>50</v>
      </c>
      <c r="H67" s="181"/>
      <c r="I67" s="178" t="s">
        <v>200</v>
      </c>
      <c r="J67" s="183">
        <f t="shared" si="7"/>
        <v>1</v>
      </c>
      <c r="K67" s="115">
        <f t="shared" si="8"/>
        <v>326.61660000000006</v>
      </c>
      <c r="L67" s="116">
        <f t="shared" si="9"/>
        <v>182.17367481600004</v>
      </c>
      <c r="M67" s="116">
        <f t="shared" si="10"/>
        <v>1.9753771968000003E-2</v>
      </c>
      <c r="N67" s="116">
        <f t="shared" si="11"/>
        <v>2.8203996643200004E-3</v>
      </c>
      <c r="O67" s="95">
        <f>IFERROR(L67*'Fuel Usage Emissions'!$B$33+M67*'Fuel Usage Emissions'!$B$34+N67*'Fuel Usage Emissions'!$B$35,"")</f>
        <v>183.50799821516739</v>
      </c>
      <c r="P67" s="99"/>
      <c r="Q67" s="98"/>
    </row>
    <row r="68" spans="1:17" ht="9" customHeight="1">
      <c r="A68" s="179"/>
      <c r="B68" s="180"/>
      <c r="C68" s="96" t="s">
        <v>313</v>
      </c>
      <c r="D68" s="94" t="s">
        <v>197</v>
      </c>
      <c r="E68" s="178" t="s">
        <v>297</v>
      </c>
      <c r="F68" s="94">
        <f t="shared" si="6"/>
        <v>74.570000000000007</v>
      </c>
      <c r="G68" s="103">
        <v>100</v>
      </c>
      <c r="H68" s="181"/>
      <c r="I68" s="178" t="s">
        <v>200</v>
      </c>
      <c r="J68" s="183">
        <f t="shared" si="7"/>
        <v>1</v>
      </c>
      <c r="K68" s="115">
        <f t="shared" si="8"/>
        <v>653.23320000000012</v>
      </c>
      <c r="L68" s="116">
        <f t="shared" si="9"/>
        <v>364.34734963200009</v>
      </c>
      <c r="M68" s="116">
        <f t="shared" si="10"/>
        <v>3.9507543936000006E-2</v>
      </c>
      <c r="N68" s="116">
        <f t="shared" si="11"/>
        <v>5.6407993286400008E-3</v>
      </c>
      <c r="O68" s="95">
        <f>IFERROR(L68*'Fuel Usage Emissions'!$B$33+M68*'Fuel Usage Emissions'!$B$34+N68*'Fuel Usage Emissions'!$B$35,"")</f>
        <v>367.01599643033478</v>
      </c>
      <c r="P68" s="99"/>
      <c r="Q68" s="98"/>
    </row>
    <row r="69" spans="1:17" ht="9" customHeight="1">
      <c r="A69" s="179"/>
      <c r="B69" s="180"/>
      <c r="C69" s="96" t="s">
        <v>314</v>
      </c>
      <c r="D69" s="94" t="s">
        <v>197</v>
      </c>
      <c r="E69" s="178" t="s">
        <v>297</v>
      </c>
      <c r="F69" s="94">
        <f t="shared" si="6"/>
        <v>74.570000000000007</v>
      </c>
      <c r="G69" s="103">
        <v>100</v>
      </c>
      <c r="H69" s="181"/>
      <c r="I69" s="178" t="s">
        <v>200</v>
      </c>
      <c r="J69" s="183">
        <f t="shared" si="7"/>
        <v>1</v>
      </c>
      <c r="K69" s="115">
        <f t="shared" si="8"/>
        <v>653.23320000000012</v>
      </c>
      <c r="L69" s="116">
        <f t="shared" si="9"/>
        <v>364.34734963200009</v>
      </c>
      <c r="M69" s="116">
        <f t="shared" si="10"/>
        <v>3.9507543936000006E-2</v>
      </c>
      <c r="N69" s="116">
        <f t="shared" si="11"/>
        <v>5.6407993286400008E-3</v>
      </c>
      <c r="O69" s="95">
        <f>IFERROR(L69*'Fuel Usage Emissions'!$B$33+M69*'Fuel Usage Emissions'!$B$34+N69*'Fuel Usage Emissions'!$B$35,"")</f>
        <v>367.01599643033478</v>
      </c>
      <c r="P69" s="99"/>
      <c r="Q69" s="98"/>
    </row>
    <row r="70" spans="1:17" ht="9" customHeight="1">
      <c r="A70" s="179"/>
      <c r="B70" s="180"/>
      <c r="C70" s="96" t="s">
        <v>315</v>
      </c>
      <c r="D70" s="94" t="s">
        <v>197</v>
      </c>
      <c r="E70" s="178" t="s">
        <v>297</v>
      </c>
      <c r="F70" s="94">
        <f t="shared" si="6"/>
        <v>11.185500000000001</v>
      </c>
      <c r="G70" s="103">
        <v>15</v>
      </c>
      <c r="H70" s="181"/>
      <c r="I70" s="178" t="s">
        <v>200</v>
      </c>
      <c r="J70" s="183">
        <f t="shared" si="7"/>
        <v>1</v>
      </c>
      <c r="K70" s="115">
        <f t="shared" si="8"/>
        <v>97.984980000000007</v>
      </c>
      <c r="L70" s="116">
        <f t="shared" si="9"/>
        <v>54.652102444800008</v>
      </c>
      <c r="M70" s="116">
        <f t="shared" si="10"/>
        <v>5.9261315904E-3</v>
      </c>
      <c r="N70" s="116">
        <f t="shared" si="11"/>
        <v>8.4611989929600008E-4</v>
      </c>
      <c r="O70" s="95">
        <f>IFERROR(L70*'Fuel Usage Emissions'!$B$33+M70*'Fuel Usage Emissions'!$B$34+N70*'Fuel Usage Emissions'!$B$35,"")</f>
        <v>55.05239946455022</v>
      </c>
      <c r="P70" s="99"/>
      <c r="Q70" s="98"/>
    </row>
    <row r="71" spans="1:17" ht="9.6" customHeight="1">
      <c r="A71" s="179"/>
      <c r="B71" s="180"/>
      <c r="C71" s="96" t="s">
        <v>316</v>
      </c>
      <c r="D71" s="94" t="s">
        <v>197</v>
      </c>
      <c r="E71" s="178" t="s">
        <v>302</v>
      </c>
      <c r="F71" s="94">
        <f t="shared" si="6"/>
        <v>372.85</v>
      </c>
      <c r="G71" s="103">
        <v>500</v>
      </c>
      <c r="H71" s="182"/>
      <c r="I71" s="178" t="s">
        <v>200</v>
      </c>
      <c r="J71" s="183">
        <f t="shared" si="7"/>
        <v>1</v>
      </c>
      <c r="K71" s="115">
        <f t="shared" si="8"/>
        <v>3266.1660000000002</v>
      </c>
      <c r="L71" s="116">
        <f t="shared" si="9"/>
        <v>1821.7367481600002</v>
      </c>
      <c r="M71" s="116">
        <f t="shared" si="10"/>
        <v>0.19753771968</v>
      </c>
      <c r="N71" s="116">
        <f t="shared" si="11"/>
        <v>2.8203996643200002E-2</v>
      </c>
      <c r="O71" s="95">
        <f>IFERROR(L71*'Fuel Usage Emissions'!$B$33+M71*'Fuel Usage Emissions'!$B$34+N71*'Fuel Usage Emissions'!$B$35,"")</f>
        <v>1835.0799821516739</v>
      </c>
      <c r="P71" s="91"/>
      <c r="Q71" s="90"/>
    </row>
    <row r="72" spans="1:17">
      <c r="A72" s="114"/>
      <c r="B72" s="114"/>
      <c r="C72" s="114"/>
      <c r="D72" s="114"/>
      <c r="E72" s="105"/>
      <c r="F72" s="105"/>
      <c r="G72" s="105"/>
      <c r="H72" s="105"/>
      <c r="I72" s="105"/>
      <c r="J72" s="105"/>
      <c r="K72" s="120" t="s">
        <v>317</v>
      </c>
      <c r="L72" s="121">
        <f>SUM(L9:L71)</f>
        <v>45596.809342963206</v>
      </c>
      <c r="M72" s="121">
        <f t="shared" ref="M72:N72" si="12">SUM(M9:M71)</f>
        <v>4.9442323383935998</v>
      </c>
      <c r="N72" s="121">
        <f t="shared" si="12"/>
        <v>0.70592650609286411</v>
      </c>
      <c r="O72" s="121">
        <f>SUM(O9:O71)</f>
        <v>45930.78125023871</v>
      </c>
      <c r="P72" s="105"/>
      <c r="Q72" s="105"/>
    </row>
    <row r="73" spans="1:17">
      <c r="E73" s="117"/>
      <c r="F73" s="117"/>
      <c r="G73" s="117"/>
      <c r="H73" s="117"/>
      <c r="I73" s="117"/>
      <c r="J73" s="117"/>
      <c r="K73" s="169" t="s">
        <v>318</v>
      </c>
      <c r="L73" s="117" t="s">
        <v>8</v>
      </c>
      <c r="M73" s="118">
        <f>CONVERT(0.498,"uk_ton","ton")</f>
        <v>0.55776000000000003</v>
      </c>
      <c r="N73" s="117" t="s">
        <v>319</v>
      </c>
      <c r="O73" s="119">
        <f>CONVERT(0.000054,"uk_ton","ton")</f>
        <v>6.0479999999999997E-5</v>
      </c>
      <c r="P73" s="117" t="s">
        <v>320</v>
      </c>
      <c r="Q73" s="119">
        <f>CONVERT(0.00000771,"uk_ton","ton")</f>
        <v>8.6351999999999999E-6</v>
      </c>
    </row>
  </sheetData>
  <mergeCells count="26">
    <mergeCell ref="A1:C7"/>
    <mergeCell ref="D1:I2"/>
    <mergeCell ref="J1:K1"/>
    <mergeCell ref="J2:N2"/>
    <mergeCell ref="O2:Q2"/>
    <mergeCell ref="D3:E7"/>
    <mergeCell ref="H3:J3"/>
    <mergeCell ref="K3:M3"/>
    <mergeCell ref="N3:O3"/>
    <mergeCell ref="P3:Q3"/>
    <mergeCell ref="H4:J4"/>
    <mergeCell ref="K4:M4"/>
    <mergeCell ref="N4:O4"/>
    <mergeCell ref="N7:O7"/>
    <mergeCell ref="P7:Q7"/>
    <mergeCell ref="H7:J7"/>
    <mergeCell ref="K7:M7"/>
    <mergeCell ref="P4:Q4"/>
    <mergeCell ref="H5:J5"/>
    <mergeCell ref="K5:M5"/>
    <mergeCell ref="N5:O5"/>
    <mergeCell ref="P5:Q5"/>
    <mergeCell ref="H6:J6"/>
    <mergeCell ref="K6:M6"/>
    <mergeCell ref="N6:O6"/>
    <mergeCell ref="P6:Q6"/>
  </mergeCells>
  <hyperlinks>
    <hyperlink ref="E52" r:id="rId1" location="column" xr:uid="{B52454BA-C757-4555-AE08-DE0CA2FAFFD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616A-9B5A-4C58-A013-4266FB664AEE}">
  <dimension ref="A1:U27"/>
  <sheetViews>
    <sheetView tabSelected="1" topLeftCell="I1" zoomScale="70" zoomScaleNormal="70" workbookViewId="0">
      <selection activeCell="Y7" sqref="Y7"/>
    </sheetView>
  </sheetViews>
  <sheetFormatPr defaultRowHeight="12.95"/>
  <cols>
    <col min="1" max="1" width="16.1640625" customWidth="1"/>
    <col min="2" max="2" width="20.1640625" customWidth="1"/>
    <col min="3" max="3" width="20.5" customWidth="1"/>
    <col min="4" max="4" width="21.6640625" customWidth="1"/>
    <col min="5" max="5" width="9.33203125" customWidth="1"/>
    <col min="6" max="7" width="14.83203125" customWidth="1"/>
    <col min="8" max="9" width="13.83203125" customWidth="1"/>
    <col min="10" max="10" width="12" customWidth="1"/>
    <col min="11" max="11" width="12.1640625" customWidth="1"/>
    <col min="12" max="12" width="11.83203125" customWidth="1"/>
    <col min="13" max="14" width="14.83203125" customWidth="1"/>
    <col min="15" max="17" width="13.83203125" customWidth="1"/>
    <col min="18" max="21" width="12" customWidth="1"/>
  </cols>
  <sheetData>
    <row r="1" spans="1:21" ht="57.6">
      <c r="A1" s="257" t="s">
        <v>321</v>
      </c>
      <c r="B1" s="171" t="s">
        <v>322</v>
      </c>
      <c r="C1" s="171" t="s">
        <v>323</v>
      </c>
      <c r="D1" s="171" t="s">
        <v>324</v>
      </c>
      <c r="E1" s="138" t="s">
        <v>325</v>
      </c>
      <c r="F1" s="138" t="s">
        <v>326</v>
      </c>
      <c r="G1" s="138" t="s">
        <v>327</v>
      </c>
      <c r="H1" s="138" t="s">
        <v>328</v>
      </c>
      <c r="I1" s="138" t="s">
        <v>329</v>
      </c>
      <c r="J1" s="138" t="s">
        <v>330</v>
      </c>
      <c r="K1" s="138" t="s">
        <v>331</v>
      </c>
      <c r="L1" s="138" t="s">
        <v>325</v>
      </c>
      <c r="M1" s="138" t="s">
        <v>326</v>
      </c>
      <c r="N1" s="138" t="s">
        <v>327</v>
      </c>
      <c r="O1" s="138" t="s">
        <v>328</v>
      </c>
      <c r="P1" s="138" t="s">
        <v>329</v>
      </c>
      <c r="Q1" s="138" t="s">
        <v>332</v>
      </c>
      <c r="R1" s="139" t="s">
        <v>333</v>
      </c>
      <c r="S1" s="157" t="s">
        <v>334</v>
      </c>
      <c r="T1" s="138" t="s">
        <v>335</v>
      </c>
      <c r="U1" s="139" t="s">
        <v>336</v>
      </c>
    </row>
    <row r="2" spans="1:21" ht="13.5" thickBot="1">
      <c r="A2" s="258"/>
      <c r="B2" s="172" t="s">
        <v>337</v>
      </c>
      <c r="C2" s="172" t="s">
        <v>337</v>
      </c>
      <c r="D2" s="172" t="s">
        <v>338</v>
      </c>
      <c r="E2" s="146" t="s">
        <v>339</v>
      </c>
      <c r="F2" s="146" t="s">
        <v>339</v>
      </c>
      <c r="G2" s="146" t="s">
        <v>339</v>
      </c>
      <c r="H2" s="146" t="s">
        <v>339</v>
      </c>
      <c r="I2" s="146" t="s">
        <v>339</v>
      </c>
      <c r="J2" s="146" t="s">
        <v>339</v>
      </c>
      <c r="K2" s="146" t="s">
        <v>340</v>
      </c>
      <c r="L2" s="146" t="s">
        <v>341</v>
      </c>
      <c r="M2" s="146" t="s">
        <v>341</v>
      </c>
      <c r="N2" s="146" t="s">
        <v>341</v>
      </c>
      <c r="O2" s="146" t="s">
        <v>341</v>
      </c>
      <c r="P2" s="146" t="s">
        <v>341</v>
      </c>
      <c r="Q2" s="146" t="s">
        <v>341</v>
      </c>
      <c r="R2" s="147" t="s">
        <v>341</v>
      </c>
      <c r="S2" s="158" t="s">
        <v>342</v>
      </c>
      <c r="T2" s="146" t="s">
        <v>343</v>
      </c>
      <c r="U2" s="147" t="s">
        <v>342</v>
      </c>
    </row>
    <row r="3" spans="1:21">
      <c r="A3" s="142" t="s">
        <v>344</v>
      </c>
      <c r="B3" s="173">
        <v>28.7</v>
      </c>
      <c r="C3" s="173">
        <v>21.7</v>
      </c>
      <c r="D3" s="173">
        <v>84.7</v>
      </c>
      <c r="E3" s="190">
        <v>1035.4606855108143</v>
      </c>
      <c r="F3" s="190">
        <v>30.458054527571171</v>
      </c>
      <c r="G3" s="190">
        <v>9.7060685849595773E-3</v>
      </c>
      <c r="H3" s="190">
        <v>1.8673741611063273</v>
      </c>
      <c r="I3" s="190">
        <v>9.4850309524160235</v>
      </c>
      <c r="J3" s="188">
        <v>1077.3</v>
      </c>
      <c r="K3" s="143">
        <v>39.299999999999997</v>
      </c>
      <c r="L3" s="143">
        <f>E3/2.471</f>
        <v>419.045198507007</v>
      </c>
      <c r="M3" s="143">
        <f>F3/2.471</f>
        <v>12.326205798288616</v>
      </c>
      <c r="N3" s="143">
        <f>G3/2.471</f>
        <v>3.9279921428407843E-3</v>
      </c>
      <c r="O3" s="143">
        <f>H3/2.471</f>
        <v>0.7557159696909459</v>
      </c>
      <c r="P3" s="143">
        <f>I3/2.471</f>
        <v>3.8385394384524578</v>
      </c>
      <c r="Q3" s="143">
        <f>L3</f>
        <v>419.045198507007</v>
      </c>
      <c r="R3" s="145">
        <f>SUM(M3:P3)</f>
        <v>16.924389198574861</v>
      </c>
      <c r="S3" s="159">
        <f>CONVERT(D3*L3,"kg","ton")</f>
        <v>39.124476800109633</v>
      </c>
      <c r="T3" s="144">
        <f>CONVERT(_xlfn.IFNA(SUM(B3:C3),0)*R3*44/12,"uk_ton","ton")</f>
        <v>3502.9423787642309</v>
      </c>
      <c r="U3" s="145">
        <f>S3*'Fuel Usage Emissions'!B$34+T3*0.05</f>
        <v>1153.2590389409525</v>
      </c>
    </row>
    <row r="4" spans="1:21" ht="21.75">
      <c r="A4" s="140" t="s">
        <v>345</v>
      </c>
      <c r="B4" s="174">
        <v>23.9</v>
      </c>
      <c r="C4" s="174">
        <v>23.6</v>
      </c>
      <c r="D4" s="174">
        <v>84.7</v>
      </c>
      <c r="E4" s="191">
        <v>158.94304170342375</v>
      </c>
      <c r="F4" s="191">
        <v>180.95933288927441</v>
      </c>
      <c r="G4" s="191">
        <v>23.863325475352127</v>
      </c>
      <c r="H4" s="191">
        <v>15.928557293011863</v>
      </c>
      <c r="I4" s="191">
        <v>53.477885222497434</v>
      </c>
      <c r="J4" s="135">
        <v>433.2</v>
      </c>
      <c r="K4" s="136">
        <v>18.2</v>
      </c>
      <c r="L4" s="136">
        <f t="shared" ref="L4:L15" si="0">E4/2.471</f>
        <v>64.323367747237455</v>
      </c>
      <c r="M4" s="136">
        <f t="shared" ref="M4:M15" si="1">F4/2.471</f>
        <v>73.23323872491882</v>
      </c>
      <c r="N4" s="136">
        <f t="shared" ref="N4:N15" si="2">G4/2.471</f>
        <v>9.6573555141044629</v>
      </c>
      <c r="O4" s="136">
        <f t="shared" ref="O4:O15" si="3">H4/2.471</f>
        <v>6.4461988235580181</v>
      </c>
      <c r="P4" s="136">
        <f>I4/2.471</f>
        <v>21.642203651354688</v>
      </c>
      <c r="Q4" s="136">
        <f t="shared" ref="Q4:Q15" si="4">L4</f>
        <v>64.323367747237455</v>
      </c>
      <c r="R4" s="141">
        <f>SUM(M4:P4)</f>
        <v>110.978996713936</v>
      </c>
      <c r="S4" s="160">
        <f t="shared" ref="S4:S15" si="5">CONVERT(D4*L4,"kg","ton")</f>
        <v>6.0056006323375906</v>
      </c>
      <c r="T4" s="137">
        <f>CONVERT(_xlfn.IFNA(SUM(B4:C4),0)*R4*44/12,"uk_ton","ton")</f>
        <v>21648.302958998447</v>
      </c>
      <c r="U4" s="145">
        <f>S4*'Fuel Usage Emissions'!B$34+T4*0.05</f>
        <v>1232.5551637583621</v>
      </c>
    </row>
    <row r="5" spans="1:21" ht="12.75">
      <c r="A5" s="140" t="s">
        <v>346</v>
      </c>
      <c r="B5" s="174">
        <v>2.9</v>
      </c>
      <c r="C5" s="174">
        <v>36.799999999999997</v>
      </c>
      <c r="D5" s="174">
        <v>84.7</v>
      </c>
      <c r="E5" s="191">
        <v>317.24270826167481</v>
      </c>
      <c r="F5" s="191">
        <v>111.87956748395372</v>
      </c>
      <c r="G5" s="191">
        <v>11.14795926740257</v>
      </c>
      <c r="H5" s="191">
        <v>6.8754372643747033</v>
      </c>
      <c r="I5" s="191">
        <v>14.645602794176408</v>
      </c>
      <c r="J5" s="135">
        <v>461.8</v>
      </c>
      <c r="K5" s="136">
        <v>17</v>
      </c>
      <c r="L5" s="136">
        <f t="shared" si="0"/>
        <v>128.38636514029736</v>
      </c>
      <c r="M5" s="136">
        <f t="shared" si="1"/>
        <v>45.277040665298955</v>
      </c>
      <c r="N5" s="136">
        <f t="shared" si="2"/>
        <v>4.5115173077307036</v>
      </c>
      <c r="O5" s="136">
        <f t="shared" si="3"/>
        <v>2.7824513413090664</v>
      </c>
      <c r="P5" s="136">
        <f>I5/2.471</f>
        <v>5.926994250981954</v>
      </c>
      <c r="Q5" s="136">
        <f t="shared" si="4"/>
        <v>128.38636514029736</v>
      </c>
      <c r="R5" s="141">
        <f>SUM(M5:P5)</f>
        <v>58.49800356532068</v>
      </c>
      <c r="S5" s="160">
        <f t="shared" si="5"/>
        <v>11.986891586583772</v>
      </c>
      <c r="T5" s="137">
        <f>CONVERT(_xlfn.IFNA(SUM(B5:C5),0)*R5*44/12,"uk_ton","ton")</f>
        <v>9537.2025119375357</v>
      </c>
      <c r="U5" s="145">
        <f>S5*'Fuel Usage Emissions'!B$34+T5*0.05</f>
        <v>776.5324152614711</v>
      </c>
    </row>
    <row r="6" spans="1:21" ht="12.75">
      <c r="A6" s="140" t="s">
        <v>347</v>
      </c>
      <c r="B6" s="174">
        <v>28.7</v>
      </c>
      <c r="C6" s="174">
        <v>21.7</v>
      </c>
      <c r="D6" s="174">
        <v>84.7</v>
      </c>
      <c r="E6" s="191">
        <v>160.37030302442335</v>
      </c>
      <c r="F6" s="191">
        <v>54.166519835793643</v>
      </c>
      <c r="G6" s="191">
        <v>0.85583525727215448</v>
      </c>
      <c r="H6" s="191">
        <v>6.06726084976499</v>
      </c>
      <c r="I6" s="191">
        <v>3.7164073015992773</v>
      </c>
      <c r="J6" s="135">
        <v>225.2</v>
      </c>
      <c r="K6" s="136">
        <v>8.3000000000000007</v>
      </c>
      <c r="L6" s="136">
        <f t="shared" si="0"/>
        <v>64.900972490661005</v>
      </c>
      <c r="M6" s="136">
        <f t="shared" si="1"/>
        <v>21.920890261349108</v>
      </c>
      <c r="N6" s="136">
        <f t="shared" si="2"/>
        <v>0.34635178359860558</v>
      </c>
      <c r="O6" s="136">
        <f t="shared" si="3"/>
        <v>2.45538682710036</v>
      </c>
      <c r="P6" s="136">
        <f>I6/2.471</f>
        <v>1.504009430028036</v>
      </c>
      <c r="Q6" s="136">
        <f t="shared" si="4"/>
        <v>64.900972490661005</v>
      </c>
      <c r="R6" s="141">
        <f>SUM(M6:P6)</f>
        <v>26.226638302076108</v>
      </c>
      <c r="S6" s="160">
        <f t="shared" si="5"/>
        <v>6.0595291428281604</v>
      </c>
      <c r="T6" s="137">
        <f>CONVERT(_xlfn.IFNA(SUM(B6:C6),0)*R6*44/12,"uk_ton","ton")</f>
        <v>5428.2846892105044</v>
      </c>
      <c r="U6" s="145">
        <f>S6*'Fuel Usage Emissions'!B$34+T6*0.05</f>
        <v>422.90246303122922</v>
      </c>
    </row>
    <row r="7" spans="1:21" ht="12.75">
      <c r="A7" s="140" t="s">
        <v>348</v>
      </c>
      <c r="B7" s="174">
        <v>47.8</v>
      </c>
      <c r="C7" s="175">
        <v>23</v>
      </c>
      <c r="D7" s="175">
        <v>84.7</v>
      </c>
      <c r="E7" s="191">
        <v>34.98380363509677</v>
      </c>
      <c r="F7" s="191">
        <v>61.663443127596331</v>
      </c>
      <c r="G7" s="191">
        <v>7.3533490065743274</v>
      </c>
      <c r="H7" s="191">
        <v>7.919197484971054</v>
      </c>
      <c r="I7" s="191">
        <v>3.8447997637673259</v>
      </c>
      <c r="J7" s="135">
        <v>115.8</v>
      </c>
      <c r="K7" s="136">
        <v>5.5</v>
      </c>
      <c r="L7" s="136">
        <f t="shared" si="0"/>
        <v>14.157751369929894</v>
      </c>
      <c r="M7" s="136">
        <f t="shared" si="1"/>
        <v>24.954853552244568</v>
      </c>
      <c r="N7" s="136">
        <f t="shared" si="2"/>
        <v>2.9758595736844708</v>
      </c>
      <c r="O7" s="136">
        <f t="shared" si="3"/>
        <v>3.2048553156499611</v>
      </c>
      <c r="P7" s="136">
        <f>I7/2.471</f>
        <v>1.5559691476193143</v>
      </c>
      <c r="Q7" s="136">
        <f t="shared" si="4"/>
        <v>14.157751369929894</v>
      </c>
      <c r="R7" s="141">
        <f>SUM(M7:P7)</f>
        <v>32.691537589198312</v>
      </c>
      <c r="S7" s="160">
        <f>CONVERT(D7*L7,"kg","ton")</f>
        <v>1.3218493303062637</v>
      </c>
      <c r="T7" s="137">
        <f>CONVERT(_xlfn.IFNA(SUM(B7:C7),0)*R7*44/12,"uk_ton","ton")</f>
        <v>9505.1299371345867</v>
      </c>
      <c r="U7" s="145">
        <f>S7*'Fuel Usage Emissions'!B$34+T7*0.05</f>
        <v>508.30273011438595</v>
      </c>
    </row>
    <row r="8" spans="1:21" ht="32.25">
      <c r="A8" s="140" t="s">
        <v>349</v>
      </c>
      <c r="B8" s="174">
        <v>2.9</v>
      </c>
      <c r="C8" s="174">
        <v>36.799999999999997</v>
      </c>
      <c r="D8" s="174">
        <v>84.7</v>
      </c>
      <c r="E8" s="191">
        <v>121.34543055447386</v>
      </c>
      <c r="F8" s="191">
        <v>9.1769303013540195</v>
      </c>
      <c r="G8" s="191">
        <v>0.73189526639453562</v>
      </c>
      <c r="H8" s="191">
        <v>0.2071181934116611</v>
      </c>
      <c r="I8" s="191">
        <v>2.2314830149033793</v>
      </c>
      <c r="J8" s="135">
        <v>133.69999999999999</v>
      </c>
      <c r="K8" s="136">
        <v>4.8</v>
      </c>
      <c r="L8" s="136">
        <f t="shared" si="0"/>
        <v>49.107822968220908</v>
      </c>
      <c r="M8" s="136">
        <f t="shared" si="1"/>
        <v>3.7138528131744311</v>
      </c>
      <c r="N8" s="136">
        <f t="shared" si="2"/>
        <v>0.29619395645266516</v>
      </c>
      <c r="O8" s="136">
        <f t="shared" si="3"/>
        <v>8.3819584545390971E-2</v>
      </c>
      <c r="P8" s="136">
        <f>I8/2.471</f>
        <v>0.90306880408878154</v>
      </c>
      <c r="Q8" s="136">
        <f t="shared" si="4"/>
        <v>49.107822968220908</v>
      </c>
      <c r="R8" s="141">
        <f>SUM(M8:P8)</f>
        <v>4.9969351582612687</v>
      </c>
      <c r="S8" s="160">
        <f t="shared" si="5"/>
        <v>4.5849896079692778</v>
      </c>
      <c r="T8" s="137">
        <f>CONVERT(_xlfn.IFNA(SUM(B8:C8),0)*R8*44/12,"uk_ton","ton")</f>
        <v>814.67365788207314</v>
      </c>
      <c r="U8" s="145">
        <f>S8*'Fuel Usage Emissions'!B$34+T8*0.05</f>
        <v>155.3584230933356</v>
      </c>
    </row>
    <row r="9" spans="1:21" ht="12.75">
      <c r="A9" s="140" t="s">
        <v>350</v>
      </c>
      <c r="B9" s="174" t="s">
        <v>135</v>
      </c>
      <c r="C9" s="174" t="s">
        <v>135</v>
      </c>
      <c r="D9" s="174" t="s">
        <v>135</v>
      </c>
      <c r="E9" s="191">
        <v>374.31288098521514</v>
      </c>
      <c r="F9" s="191">
        <v>39.654461639595503</v>
      </c>
      <c r="G9" s="191">
        <v>5.7641096985853766</v>
      </c>
      <c r="H9" s="191">
        <v>2.476348212132716E-2</v>
      </c>
      <c r="I9" s="191">
        <v>0.49579290206069726</v>
      </c>
      <c r="J9" s="135">
        <v>420.3</v>
      </c>
      <c r="K9" s="136">
        <v>4.4000000000000004</v>
      </c>
      <c r="L9" s="136">
        <f t="shared" si="0"/>
        <v>151.48234762655409</v>
      </c>
      <c r="M9" s="136">
        <f t="shared" si="1"/>
        <v>16.047940768755769</v>
      </c>
      <c r="N9" s="136">
        <f t="shared" si="2"/>
        <v>2.3327032369831553</v>
      </c>
      <c r="O9" s="136">
        <f t="shared" si="3"/>
        <v>1.0021643917979425E-2</v>
      </c>
      <c r="P9" s="136">
        <f>I9/2.471</f>
        <v>0.20064463863241491</v>
      </c>
      <c r="Q9" s="136">
        <f t="shared" si="4"/>
        <v>151.48234762655409</v>
      </c>
      <c r="R9" s="141">
        <f>SUM(M9:P9)</f>
        <v>18.591310288289318</v>
      </c>
      <c r="S9" s="160">
        <v>0</v>
      </c>
      <c r="T9" s="137">
        <f>CONVERT(_xlfn.IFNA(SUM(B9:C9),0)*R9*44/12,"uk_ton","ton")</f>
        <v>0</v>
      </c>
      <c r="U9" s="145">
        <f>S9*'Fuel Usage Emissions'!B$34+T9*0.05</f>
        <v>0</v>
      </c>
    </row>
    <row r="10" spans="1:21" ht="12.75">
      <c r="A10" s="140" t="s">
        <v>351</v>
      </c>
      <c r="B10" s="174">
        <v>28.7</v>
      </c>
      <c r="C10" s="174">
        <v>21.7</v>
      </c>
      <c r="D10" s="174">
        <v>84.7</v>
      </c>
      <c r="E10" s="191">
        <v>31.604609006530644</v>
      </c>
      <c r="F10" s="191">
        <v>23.921860491148248</v>
      </c>
      <c r="G10" s="191">
        <v>0.79654952515579369</v>
      </c>
      <c r="H10" s="191"/>
      <c r="I10" s="191">
        <v>1.6853384521096146</v>
      </c>
      <c r="J10" s="135">
        <v>58</v>
      </c>
      <c r="K10" s="136">
        <v>2.2000000000000002</v>
      </c>
      <c r="L10" s="136">
        <f t="shared" si="0"/>
        <v>12.790210039065416</v>
      </c>
      <c r="M10" s="136">
        <f t="shared" si="1"/>
        <v>9.6810443104606421</v>
      </c>
      <c r="N10" s="136">
        <f t="shared" si="2"/>
        <v>0.32235917650983154</v>
      </c>
      <c r="O10" s="136">
        <f t="shared" si="3"/>
        <v>0</v>
      </c>
      <c r="P10" s="136">
        <f>I10/2.471</f>
        <v>0.68204712752311392</v>
      </c>
      <c r="Q10" s="136">
        <f t="shared" si="4"/>
        <v>12.790210039065416</v>
      </c>
      <c r="R10" s="141">
        <f>SUM(M10:P10)</f>
        <v>10.685450614493588</v>
      </c>
      <c r="S10" s="160">
        <f t="shared" si="5"/>
        <v>1.1941677836300915</v>
      </c>
      <c r="T10" s="137">
        <f>CONVERT(_xlfn.IFNA(SUM(B10:C10),0)*R10*44/12,"uk_ton","ton")</f>
        <v>2211.631826385425</v>
      </c>
      <c r="U10" s="145">
        <f>S10*'Fuel Usage Emissions'!B$34+T10*0.05</f>
        <v>140.43578591002353</v>
      </c>
    </row>
    <row r="11" spans="1:21" ht="21.75">
      <c r="A11" s="140" t="s">
        <v>352</v>
      </c>
      <c r="B11" s="174">
        <v>66.3</v>
      </c>
      <c r="C11" s="174">
        <v>22.1</v>
      </c>
      <c r="D11" s="174">
        <v>84.7</v>
      </c>
      <c r="E11" s="191">
        <v>1.6512301785393024</v>
      </c>
      <c r="F11" s="191">
        <v>2.796095932832289</v>
      </c>
      <c r="G11" s="191"/>
      <c r="H11" s="191"/>
      <c r="I11" s="191">
        <v>0.142615981582702</v>
      </c>
      <c r="J11" s="135">
        <v>4.5999999999999996</v>
      </c>
      <c r="K11" s="136">
        <v>0.2</v>
      </c>
      <c r="L11" s="136">
        <f t="shared" si="0"/>
        <v>0.66824369831618868</v>
      </c>
      <c r="M11" s="136">
        <f t="shared" si="1"/>
        <v>1.1315645215832817</v>
      </c>
      <c r="N11" s="136">
        <f t="shared" si="2"/>
        <v>0</v>
      </c>
      <c r="O11" s="136">
        <f t="shared" si="3"/>
        <v>0</v>
      </c>
      <c r="P11" s="136">
        <f>I11/2.471</f>
        <v>5.771589703873007E-2</v>
      </c>
      <c r="Q11" s="136">
        <f t="shared" si="4"/>
        <v>0.66824369831618868</v>
      </c>
      <c r="R11" s="141">
        <f>SUM(M11:P11)</f>
        <v>1.1892804186220118</v>
      </c>
      <c r="S11" s="160">
        <f t="shared" si="5"/>
        <v>6.2391086128037364E-2</v>
      </c>
      <c r="T11" s="137">
        <f>CONVERT(_xlfn.IFNA(SUM(B11:C11),0)*R11*44/12,"uk_ton","ton")</f>
        <v>431.7436775187366</v>
      </c>
      <c r="U11" s="145">
        <f>S11*'Fuel Usage Emissions'!B$34+T11*0.05</f>
        <v>23.146961029137763</v>
      </c>
    </row>
    <row r="12" spans="1:21" ht="21.75">
      <c r="A12" s="140" t="s">
        <v>353</v>
      </c>
      <c r="B12" s="174" t="s">
        <v>135</v>
      </c>
      <c r="C12" s="174" t="s">
        <v>135</v>
      </c>
      <c r="D12" s="174">
        <v>84.7</v>
      </c>
      <c r="E12" s="191">
        <v>0.13231123904717221</v>
      </c>
      <c r="F12" s="191">
        <v>0.88943970376966552</v>
      </c>
      <c r="G12" s="191">
        <v>2.701190744282499E-5</v>
      </c>
      <c r="H12" s="191">
        <v>0.82983863085300857</v>
      </c>
      <c r="I12" s="191"/>
      <c r="J12" s="135">
        <v>1.9</v>
      </c>
      <c r="K12" s="136">
        <v>0.1</v>
      </c>
      <c r="L12" s="136">
        <f t="shared" si="0"/>
        <v>5.3545624867329909E-2</v>
      </c>
      <c r="M12" s="136">
        <f t="shared" si="1"/>
        <v>0.35995131678254372</v>
      </c>
      <c r="N12" s="136">
        <f t="shared" si="2"/>
        <v>1.0931569179613512E-5</v>
      </c>
      <c r="O12" s="136">
        <f t="shared" si="3"/>
        <v>0.33583109302023817</v>
      </c>
      <c r="P12" s="136">
        <f>I12/2.471</f>
        <v>0</v>
      </c>
      <c r="Q12" s="136">
        <f t="shared" si="4"/>
        <v>5.3545624867329909E-2</v>
      </c>
      <c r="R12" s="141">
        <f>SUM(M12:P12)</f>
        <v>0.69579334137196147</v>
      </c>
      <c r="S12" s="160">
        <f t="shared" si="5"/>
        <v>4.9993283906680829E-3</v>
      </c>
      <c r="T12" s="137">
        <f>CONVERT(_xlfn.IFNA(SUM(B12:C12),0)*R12*44/12,"uk_ton","ton")</f>
        <v>0</v>
      </c>
      <c r="U12" s="145">
        <f>S12*'Fuel Usage Emissions'!B$34+T12*0.05</f>
        <v>0.12498320976670207</v>
      </c>
    </row>
    <row r="13" spans="1:21" ht="21.75">
      <c r="A13" s="140" t="s">
        <v>354</v>
      </c>
      <c r="B13" s="174" t="s">
        <v>135</v>
      </c>
      <c r="C13" s="174" t="s">
        <v>135</v>
      </c>
      <c r="D13" s="174">
        <v>84.7</v>
      </c>
      <c r="E13" s="135"/>
      <c r="F13" s="191">
        <v>0.83821786254739183</v>
      </c>
      <c r="G13" s="191">
        <v>0.13278079327205691</v>
      </c>
      <c r="H13" s="191">
        <v>1.6082684272669581</v>
      </c>
      <c r="I13" s="191"/>
      <c r="J13" s="135">
        <v>2.6</v>
      </c>
      <c r="K13" s="136">
        <v>0.1</v>
      </c>
      <c r="L13" s="135">
        <f t="shared" si="0"/>
        <v>0</v>
      </c>
      <c r="M13" s="136">
        <f t="shared" si="1"/>
        <v>0.33922212162986315</v>
      </c>
      <c r="N13" s="136">
        <f t="shared" si="2"/>
        <v>5.3735650858784664E-2</v>
      </c>
      <c r="O13" s="136">
        <f t="shared" si="3"/>
        <v>0.65085731576971184</v>
      </c>
      <c r="P13" s="136">
        <f>I13/2.471</f>
        <v>0</v>
      </c>
      <c r="Q13" s="136">
        <f t="shared" si="4"/>
        <v>0</v>
      </c>
      <c r="R13" s="141">
        <f>SUM(M13:P13)</f>
        <v>1.0438150882583597</v>
      </c>
      <c r="S13" s="160">
        <f t="shared" si="5"/>
        <v>0</v>
      </c>
      <c r="T13" s="137">
        <f>CONVERT(_xlfn.IFNA(SUM(B13:C13),0)*R13*44/12,"uk_ton","ton")</f>
        <v>0</v>
      </c>
      <c r="U13" s="145">
        <f>S13*'Fuel Usage Emissions'!B$34+T13*0.05</f>
        <v>0</v>
      </c>
    </row>
    <row r="14" spans="1:21" ht="21.75">
      <c r="A14" s="140" t="s">
        <v>355</v>
      </c>
      <c r="B14" s="174" t="s">
        <v>135</v>
      </c>
      <c r="C14" s="174" t="s">
        <v>135</v>
      </c>
      <c r="D14" s="174">
        <v>84.7</v>
      </c>
      <c r="E14" s="135"/>
      <c r="F14" s="191"/>
      <c r="G14" s="191"/>
      <c r="H14" s="191">
        <v>4.6532036200462118E-2</v>
      </c>
      <c r="I14" s="191"/>
      <c r="J14" s="135">
        <v>0</v>
      </c>
      <c r="K14" s="136">
        <v>0</v>
      </c>
      <c r="L14" s="135">
        <f t="shared" si="0"/>
        <v>0</v>
      </c>
      <c r="M14" s="136">
        <f t="shared" si="1"/>
        <v>0</v>
      </c>
      <c r="N14" s="136">
        <f t="shared" si="2"/>
        <v>0</v>
      </c>
      <c r="O14" s="136">
        <f t="shared" si="3"/>
        <v>1.8831257062105266E-2</v>
      </c>
      <c r="P14" s="136">
        <f>I14/2.471</f>
        <v>0</v>
      </c>
      <c r="Q14" s="136">
        <f t="shared" si="4"/>
        <v>0</v>
      </c>
      <c r="R14" s="141">
        <f>SUM(M14:P14)</f>
        <v>1.8831257062105266E-2</v>
      </c>
      <c r="S14" s="160">
        <f t="shared" si="5"/>
        <v>0</v>
      </c>
      <c r="T14" s="137">
        <f>CONVERT(_xlfn.IFNA(SUM(B14:C14),0)*R14*44/12,"uk_ton","ton")</f>
        <v>0</v>
      </c>
      <c r="U14" s="145">
        <f>S14*'Fuel Usage Emissions'!B$34+T14*0.05</f>
        <v>0</v>
      </c>
    </row>
    <row r="15" spans="1:21" ht="21.75">
      <c r="A15" s="148" t="s">
        <v>356</v>
      </c>
      <c r="B15" s="176" t="s">
        <v>135</v>
      </c>
      <c r="C15" s="176" t="s">
        <v>135</v>
      </c>
      <c r="D15" s="176">
        <v>84.7</v>
      </c>
      <c r="E15" s="149"/>
      <c r="F15" s="149"/>
      <c r="G15" s="193"/>
      <c r="H15" s="193">
        <v>0.15695074597531369</v>
      </c>
      <c r="I15" s="193"/>
      <c r="J15" s="149">
        <v>0.2</v>
      </c>
      <c r="K15" s="150">
        <v>0</v>
      </c>
      <c r="L15" s="149">
        <f t="shared" si="0"/>
        <v>0</v>
      </c>
      <c r="M15" s="150">
        <f t="shared" si="1"/>
        <v>0</v>
      </c>
      <c r="N15" s="150">
        <f t="shared" si="2"/>
        <v>0</v>
      </c>
      <c r="O15" s="150">
        <f t="shared" si="3"/>
        <v>6.3517096711984494E-2</v>
      </c>
      <c r="P15" s="150">
        <f>I15/2.471</f>
        <v>0</v>
      </c>
      <c r="Q15" s="150">
        <f t="shared" si="4"/>
        <v>0</v>
      </c>
      <c r="R15" s="152">
        <f>SUM(M15:P15)</f>
        <v>6.3517096711984494E-2</v>
      </c>
      <c r="S15" s="161">
        <f t="shared" si="5"/>
        <v>0</v>
      </c>
      <c r="T15" s="151">
        <f>CONVERT(_xlfn.IFNA(SUM(B15:C15),0)*R15*44/12,"uk_ton","ton")</f>
        <v>0</v>
      </c>
      <c r="U15" s="145">
        <f>S15*'Fuel Usage Emissions'!B$34+T15*0.05</f>
        <v>0</v>
      </c>
    </row>
    <row r="16" spans="1:21" ht="13.5" thickBot="1">
      <c r="A16" s="153" t="s">
        <v>317</v>
      </c>
      <c r="B16" s="177"/>
      <c r="C16" s="177"/>
      <c r="D16" s="177"/>
      <c r="E16" s="189">
        <f>SUM(E3:E15)</f>
        <v>2236.0470040992391</v>
      </c>
      <c r="F16" s="192">
        <f t="shared" ref="F16:S16" si="6">SUM(F3:F15)</f>
        <v>516.40392379543641</v>
      </c>
      <c r="G16" s="192">
        <f t="shared" si="6"/>
        <v>50.655537370501349</v>
      </c>
      <c r="H16" s="192">
        <f t="shared" si="6"/>
        <v>41.531298569057675</v>
      </c>
      <c r="I16" s="192">
        <f t="shared" si="6"/>
        <v>89.724956385112876</v>
      </c>
      <c r="J16" s="189">
        <f t="shared" si="6"/>
        <v>2934.6</v>
      </c>
      <c r="K16" s="155">
        <f>SUM(K3:K15)</f>
        <v>100.1</v>
      </c>
      <c r="L16" s="156">
        <f t="shared" si="6"/>
        <v>904.91582521215662</v>
      </c>
      <c r="M16" s="155">
        <f t="shared" si="6"/>
        <v>208.98580485448662</v>
      </c>
      <c r="N16" s="155">
        <f t="shared" si="6"/>
        <v>20.5000151236347</v>
      </c>
      <c r="O16" s="155">
        <f t="shared" si="6"/>
        <v>16.807486268335762</v>
      </c>
      <c r="P16" s="155">
        <f t="shared" si="6"/>
        <v>36.311192385719487</v>
      </c>
      <c r="Q16" s="154">
        <f t="shared" si="6"/>
        <v>904.91582521215662</v>
      </c>
      <c r="R16" s="163">
        <f t="shared" si="6"/>
        <v>282.6044986321765</v>
      </c>
      <c r="S16" s="162">
        <f>SUM(S3:S15)</f>
        <v>70.34489529828349</v>
      </c>
      <c r="T16" s="164">
        <f>SUM(T3:T15)</f>
        <v>53079.911637831538</v>
      </c>
      <c r="U16" s="165">
        <f>SUM(U3:U15)</f>
        <v>4412.6179643486648</v>
      </c>
    </row>
    <row r="18" spans="1:4">
      <c r="A18" s="133" t="s">
        <v>357</v>
      </c>
      <c r="B18" s="133"/>
      <c r="C18" s="133"/>
      <c r="D18" s="133"/>
    </row>
    <row r="19" spans="1:4">
      <c r="A19" s="134" t="s">
        <v>358</v>
      </c>
      <c r="B19" s="134"/>
      <c r="C19" s="134"/>
      <c r="D19" s="134"/>
    </row>
    <row r="20" spans="1:4">
      <c r="A20" s="134" t="s">
        <v>359</v>
      </c>
      <c r="B20" s="134"/>
      <c r="C20" s="134"/>
      <c r="D20" s="134"/>
    </row>
    <row r="21" spans="1:4">
      <c r="A21" t="s">
        <v>360</v>
      </c>
    </row>
    <row r="22" spans="1:4">
      <c r="A22" t="s">
        <v>361</v>
      </c>
    </row>
    <row r="24" spans="1:4">
      <c r="A24" t="s">
        <v>362</v>
      </c>
    </row>
    <row r="25" spans="1:4">
      <c r="A25" t="s">
        <v>363</v>
      </c>
    </row>
    <row r="26" spans="1:4">
      <c r="A26" s="187" t="s">
        <v>364</v>
      </c>
    </row>
    <row r="27" spans="1:4">
      <c r="A27" s="187" t="s">
        <v>365</v>
      </c>
    </row>
  </sheetData>
  <mergeCells count="1">
    <mergeCell ref="A1:A2"/>
  </mergeCells>
  <hyperlinks>
    <hyperlink ref="A26" r:id="rId1" xr:uid="{917AC822-AE75-4E33-B9D9-F469E467E667}"/>
    <hyperlink ref="A27" r:id="rId2" xr:uid="{0DD79120-41EA-4C27-B47D-B3297FC75D61}"/>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7C0CF4948020439F1DD009AB97A1B7" ma:contentTypeVersion="4" ma:contentTypeDescription="Create a new document." ma:contentTypeScope="" ma:versionID="680a085bf736c095460c3c32809277ed">
  <xsd:schema xmlns:xsd="http://www.w3.org/2001/XMLSchema" xmlns:xs="http://www.w3.org/2001/XMLSchema" xmlns:p="http://schemas.microsoft.com/office/2006/metadata/properties" xmlns:ns2="8e2ed15b-3423-4c7e-971b-a247ec6cb72a" targetNamespace="http://schemas.microsoft.com/office/2006/metadata/properties" ma:root="true" ma:fieldsID="8a7e7e949db1356b294a6ddfe35178cb" ns2:_="">
    <xsd:import namespace="8e2ed15b-3423-4c7e-971b-a247ec6cb7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ed15b-3423-4c7e-971b-a247ec6cb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CC7A0-D53A-4792-8A58-C0CBD996F0E5}"/>
</file>

<file path=customXml/itemProps2.xml><?xml version="1.0" encoding="utf-8"?>
<ds:datastoreItem xmlns:ds="http://schemas.openxmlformats.org/officeDocument/2006/customXml" ds:itemID="{DE186F19-59A9-49A3-87DB-D38F18146DFD}"/>
</file>

<file path=customXml/itemProps3.xml><?xml version="1.0" encoding="utf-8"?>
<ds:datastoreItem xmlns:ds="http://schemas.openxmlformats.org/officeDocument/2006/customXml" ds:itemID="{BD215788-22B4-4C03-9B47-AAD5D2EB9A19}"/>
</file>

<file path=docMetadata/LabelInfo.xml><?xml version="1.0" encoding="utf-8"?>
<clbl:labelList xmlns:clbl="http://schemas.microsoft.com/office/2020/mipLabelMetadata">
  <clbl:label id="{a6c0d0a6-a4b9-4802-9a97-568759608577}" enabled="1" method="Standard" siteId="{f2fe6bd3-9c4a-485b-ae69-e18820a8813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Environmental Resources Management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Chen</dc:creator>
  <cp:keywords/>
  <dc:description/>
  <cp:lastModifiedBy>Dylan Veitch</cp:lastModifiedBy>
  <cp:revision/>
  <dcterms:created xsi:type="dcterms:W3CDTF">2024-04-04T19:31:50Z</dcterms:created>
  <dcterms:modified xsi:type="dcterms:W3CDTF">2025-05-02T17:11:49Z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0x010100047C0CF4948020439F1DD009AB97A1B7</vt:lpwstr>
  </property>
  <property fmtid="{D5CDD505-2E9C-101B-9397-08002B2CF9AE}" pid="3" name="MediaServiceImageTags">
    <vt:lpwstr/>
  </property>
</Properties>
</file>